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s\"/>
    </mc:Choice>
  </mc:AlternateContent>
  <xr:revisionPtr revIDLastSave="1" documentId="13_ncr:1_{01BB13D4-9718-48C3-97B0-571803B0AA4B}" xr6:coauthVersionLast="41" xr6:coauthVersionMax="41" xr10:uidLastSave="{37F356DA-51DA-43A3-A259-9C00E97B6E35}"/>
  <bookViews>
    <workbookView xWindow="-110" yWindow="-110" windowWidth="25820" windowHeight="14020" xr2:uid="{00000000-000D-0000-FFFF-FFFF00000000}"/>
  </bookViews>
  <sheets>
    <sheet name="NCO - Res" sheetId="2" r:id="rId1"/>
    <sheet name="NCO - Small Commercial" sheetId="6" r:id="rId2"/>
    <sheet name="NCO - Medium-Large C&amp;I " sheetId="7" r:id="rId3"/>
    <sheet name="NCO - Agricultural Class" sheetId="8" r:id="rId4"/>
    <sheet name="NCO - Lighting" sheetId="9" r:id="rId5"/>
    <sheet name="NCO Res Cust Fcst" sheetId="1" r:id="rId6"/>
    <sheet name="NCO Sml Comm Cust Fcst" sheetId="5" r:id="rId7"/>
    <sheet name="NCO Medium-Large C&amp;I Cust Fcst" sheetId="11" r:id="rId8"/>
    <sheet name="NCO Agricultural" sheetId="13" r:id="rId9"/>
    <sheet name="NCO Lighting Cust Fcst" sheetId="10" r:id="rId10"/>
    <sheet name="Input" sheetId="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localSheetId="3">'NCO - Agricultural Class'!$A$1:$J$51</definedName>
    <definedName name="_xlnm.Print_Area" localSheetId="4">'NCO - Lighting'!$A$1:$B$51</definedName>
    <definedName name="_xlnm.Print_Area" localSheetId="2">'NCO - Medium-Large C&amp;I '!$A$1:$Q$51</definedName>
    <definedName name="_xlnm.Print_Area" localSheetId="0">'NCO - Res'!$A$1:$L$51</definedName>
    <definedName name="_xlnm.Print_Area" localSheetId="1">'NCO - Small Commercial'!$A$1:$P$50</definedName>
    <definedName name="_xlnm.Print_Area" localSheetId="8">'NCO Agricultural'!$A$1:$J$51</definedName>
    <definedName name="_xlnm.Print_Area" localSheetId="9">'NCO Lighting Cust Fcst'!$A$1:$B$26</definedName>
    <definedName name="_xlnm.Print_Area" localSheetId="7">'NCO Medium-Large C&amp;I Cust Fcst'!$A$1:$P$60</definedName>
    <definedName name="_xlnm.Print_Area" localSheetId="5">'NCO Res Cust Fcst'!$A$1:$K$25</definedName>
    <definedName name="_xlnm.Print_Area" localSheetId="6">'NCO Sml Comm Cust Fcst'!$A$1:$J$70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4" l="1"/>
  <c r="B15" i="4"/>
  <c r="B4" i="4"/>
  <c r="B3" i="4"/>
  <c r="B44" i="9"/>
  <c r="B43" i="9"/>
  <c r="B42" i="9"/>
  <c r="B32" i="9"/>
  <c r="B31" i="9"/>
  <c r="B10" i="9"/>
  <c r="B9" i="9"/>
  <c r="B8" i="9"/>
  <c r="J45" i="8"/>
  <c r="I45" i="8"/>
  <c r="H45" i="8"/>
  <c r="G45" i="8"/>
  <c r="F45" i="8"/>
  <c r="E45" i="8"/>
  <c r="D45" i="8"/>
  <c r="C45" i="8"/>
  <c r="B45" i="8"/>
  <c r="J44" i="8"/>
  <c r="I44" i="8"/>
  <c r="H44" i="8"/>
  <c r="G44" i="8"/>
  <c r="F44" i="8"/>
  <c r="E44" i="8"/>
  <c r="D44" i="8"/>
  <c r="C44" i="8"/>
  <c r="B44" i="8"/>
  <c r="J43" i="8"/>
  <c r="I43" i="8"/>
  <c r="H43" i="8"/>
  <c r="G43" i="8"/>
  <c r="F43" i="8"/>
  <c r="E43" i="8"/>
  <c r="D43" i="8"/>
  <c r="C43" i="8"/>
  <c r="B43" i="8"/>
  <c r="J10" i="8"/>
  <c r="I10" i="8"/>
  <c r="H10" i="8"/>
  <c r="G10" i="8"/>
  <c r="F10" i="8"/>
  <c r="E10" i="8"/>
  <c r="D10" i="8"/>
  <c r="C10" i="8"/>
  <c r="B10" i="8"/>
  <c r="J9" i="8"/>
  <c r="I9" i="8"/>
  <c r="H9" i="8"/>
  <c r="G9" i="8"/>
  <c r="F9" i="8"/>
  <c r="E9" i="8"/>
  <c r="D9" i="8"/>
  <c r="C9" i="8"/>
  <c r="B9" i="8"/>
  <c r="J8" i="8"/>
  <c r="I8" i="8"/>
  <c r="H8" i="8"/>
  <c r="G8" i="8"/>
  <c r="F8" i="8"/>
  <c r="E8" i="8"/>
  <c r="D8" i="8"/>
  <c r="C8" i="8"/>
  <c r="B8" i="8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C45" i="7"/>
  <c r="B45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C44" i="7"/>
  <c r="B44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C43" i="7"/>
  <c r="B43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C10" i="7"/>
  <c r="B10" i="7"/>
  <c r="Q9" i="7"/>
  <c r="P9" i="7"/>
  <c r="O9" i="7"/>
  <c r="N9" i="7"/>
  <c r="M9" i="7"/>
  <c r="L9" i="7"/>
  <c r="K9" i="7"/>
  <c r="J9" i="7"/>
  <c r="I9" i="7"/>
  <c r="H9" i="7"/>
  <c r="G9" i="7"/>
  <c r="F9" i="7"/>
  <c r="E9" i="7"/>
  <c r="C9" i="7"/>
  <c r="B9" i="7"/>
  <c r="Q8" i="7"/>
  <c r="P8" i="7"/>
  <c r="O8" i="7"/>
  <c r="N8" i="7"/>
  <c r="M8" i="7"/>
  <c r="L8" i="7"/>
  <c r="K8" i="7"/>
  <c r="J8" i="7"/>
  <c r="I8" i="7"/>
  <c r="H8" i="7"/>
  <c r="G8" i="7"/>
  <c r="F8" i="7"/>
  <c r="E8" i="7"/>
  <c r="C8" i="7"/>
  <c r="B8" i="7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4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B43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B42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B9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10" i="2"/>
  <c r="K10" i="2"/>
  <c r="J10" i="2"/>
  <c r="I10" i="2"/>
  <c r="H10" i="2"/>
  <c r="G10" i="2"/>
  <c r="F10" i="2"/>
  <c r="E10" i="2"/>
  <c r="D10" i="2"/>
  <c r="C10" i="2"/>
  <c r="B10" i="2"/>
  <c r="L9" i="2"/>
  <c r="K9" i="2"/>
  <c r="J9" i="2"/>
  <c r="I9" i="2"/>
  <c r="H9" i="2"/>
  <c r="G9" i="2"/>
  <c r="F9" i="2"/>
  <c r="E9" i="2"/>
  <c r="D9" i="2"/>
  <c r="C9" i="2"/>
  <c r="B9" i="2"/>
  <c r="L8" i="2"/>
  <c r="K8" i="2"/>
  <c r="J8" i="2"/>
  <c r="I8" i="2"/>
  <c r="H8" i="2"/>
  <c r="G8" i="2"/>
  <c r="F8" i="2"/>
  <c r="E8" i="2"/>
  <c r="D8" i="2"/>
  <c r="C8" i="2"/>
  <c r="B8" i="2"/>
  <c r="J11" i="8"/>
  <c r="I11" i="8"/>
  <c r="H11" i="8"/>
  <c r="G11" i="8"/>
  <c r="F11" i="8"/>
  <c r="E11" i="8"/>
  <c r="D11" i="8"/>
  <c r="C11" i="8"/>
  <c r="B11" i="8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C11" i="7"/>
  <c r="B11" i="7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B11" i="6"/>
  <c r="L11" i="2"/>
  <c r="K11" i="2"/>
  <c r="J11" i="2"/>
  <c r="I11" i="2"/>
  <c r="H11" i="2"/>
  <c r="G11" i="2"/>
  <c r="F11" i="2"/>
  <c r="E11" i="2"/>
  <c r="D11" i="2"/>
  <c r="C11" i="2"/>
  <c r="B11" i="2"/>
  <c r="B13" i="4"/>
  <c r="B12" i="4"/>
  <c r="B11" i="4"/>
  <c r="B9" i="4"/>
  <c r="B8" i="4"/>
  <c r="F7" i="13"/>
  <c r="E7" i="13"/>
  <c r="F6" i="13"/>
  <c r="E6" i="13"/>
  <c r="E10" i="13" s="1"/>
  <c r="B7" i="13"/>
  <c r="B6" i="13"/>
  <c r="K8" i="11"/>
  <c r="K7" i="11"/>
  <c r="K18" i="11" s="1"/>
  <c r="K23" i="11" s="1"/>
  <c r="K28" i="11" s="1"/>
  <c r="K33" i="11" s="1"/>
  <c r="J7" i="11"/>
  <c r="H7" i="11"/>
  <c r="G7" i="11"/>
  <c r="H6" i="11"/>
  <c r="H11" i="11" s="1"/>
  <c r="G6" i="11"/>
  <c r="E8" i="11"/>
  <c r="D8" i="11"/>
  <c r="E7" i="11"/>
  <c r="E18" i="11" s="1"/>
  <c r="E23" i="11" s="1"/>
  <c r="E28" i="11" s="1"/>
  <c r="E33" i="11" s="1"/>
  <c r="D7" i="11"/>
  <c r="C7" i="11"/>
  <c r="E6" i="11"/>
  <c r="D6" i="11"/>
  <c r="D17" i="11" s="1"/>
  <c r="D22" i="11" s="1"/>
  <c r="D27" i="11" s="1"/>
  <c r="D32" i="11" s="1"/>
  <c r="C6" i="11"/>
  <c r="B6" i="11"/>
  <c r="F9" i="5"/>
  <c r="F8" i="5"/>
  <c r="F26" i="5" s="1"/>
  <c r="F32" i="5" s="1"/>
  <c r="F38" i="5" s="1"/>
  <c r="F7" i="5"/>
  <c r="E7" i="5"/>
  <c r="F6" i="5"/>
  <c r="E6" i="5"/>
  <c r="E18" i="5" s="1"/>
  <c r="E24" i="5" s="1"/>
  <c r="E30" i="5" s="1"/>
  <c r="E36" i="5" s="1"/>
  <c r="C9" i="5"/>
  <c r="B9" i="5"/>
  <c r="C8" i="5"/>
  <c r="B8" i="5"/>
  <c r="B20" i="5" s="1"/>
  <c r="B26" i="5" s="1"/>
  <c r="B32" i="5" s="1"/>
  <c r="B38" i="5" s="1"/>
  <c r="C7" i="5"/>
  <c r="B7" i="5"/>
  <c r="C6" i="5"/>
  <c r="B6" i="5"/>
  <c r="B24" i="5" s="1"/>
  <c r="B30" i="5" s="1"/>
  <c r="B36" i="5" s="1"/>
  <c r="B8" i="10"/>
  <c r="B11" i="10" s="1"/>
  <c r="B12" i="10" s="1"/>
  <c r="B13" i="10" s="1"/>
  <c r="F16" i="13"/>
  <c r="F20" i="13" s="1"/>
  <c r="F24" i="13" s="1"/>
  <c r="F28" i="13" s="1"/>
  <c r="E16" i="13"/>
  <c r="E20" i="13" s="1"/>
  <c r="E24" i="13" s="1"/>
  <c r="E28" i="13" s="1"/>
  <c r="B16" i="13"/>
  <c r="B20" i="13" s="1"/>
  <c r="B24" i="13" s="1"/>
  <c r="B28" i="13" s="1"/>
  <c r="F15" i="13"/>
  <c r="F19" i="13" s="1"/>
  <c r="F23" i="13" s="1"/>
  <c r="F27" i="13" s="1"/>
  <c r="B15" i="13"/>
  <c r="B19" i="13" s="1"/>
  <c r="B23" i="13" s="1"/>
  <c r="B27" i="13" s="1"/>
  <c r="C34" i="11"/>
  <c r="K19" i="11"/>
  <c r="K24" i="11" s="1"/>
  <c r="K29" i="11" s="1"/>
  <c r="K34" i="11" s="1"/>
  <c r="E19" i="11"/>
  <c r="E24" i="11" s="1"/>
  <c r="E29" i="11" s="1"/>
  <c r="E34" i="11" s="1"/>
  <c r="D19" i="11"/>
  <c r="D24" i="11" s="1"/>
  <c r="D29" i="11" s="1"/>
  <c r="D34" i="11" s="1"/>
  <c r="C19" i="11"/>
  <c r="J18" i="11"/>
  <c r="J23" i="11" s="1"/>
  <c r="J28" i="11" s="1"/>
  <c r="J33" i="11" s="1"/>
  <c r="H18" i="11"/>
  <c r="H23" i="11" s="1"/>
  <c r="H28" i="11" s="1"/>
  <c r="H33" i="11" s="1"/>
  <c r="G18" i="11"/>
  <c r="G23" i="11" s="1"/>
  <c r="G28" i="11" s="1"/>
  <c r="G33" i="11" s="1"/>
  <c r="D18" i="11"/>
  <c r="D23" i="11" s="1"/>
  <c r="D28" i="11" s="1"/>
  <c r="D33" i="11" s="1"/>
  <c r="C18" i="11"/>
  <c r="C23" i="11" s="1"/>
  <c r="C28" i="11" s="1"/>
  <c r="C33" i="11" s="1"/>
  <c r="H17" i="11"/>
  <c r="G17" i="11"/>
  <c r="G22" i="11" s="1"/>
  <c r="G27" i="11" s="1"/>
  <c r="G32" i="11" s="1"/>
  <c r="E17" i="11"/>
  <c r="E22" i="11" s="1"/>
  <c r="E27" i="11" s="1"/>
  <c r="E32" i="11" s="1"/>
  <c r="C17" i="11"/>
  <c r="C22" i="11" s="1"/>
  <c r="C27" i="11" s="1"/>
  <c r="C32" i="11" s="1"/>
  <c r="B17" i="11"/>
  <c r="B22" i="11" s="1"/>
  <c r="B27" i="11" s="1"/>
  <c r="B32" i="11" s="1"/>
  <c r="F21" i="5"/>
  <c r="F27" i="5" s="1"/>
  <c r="F33" i="5" s="1"/>
  <c r="F39" i="5" s="1"/>
  <c r="C21" i="5"/>
  <c r="C27" i="5" s="1"/>
  <c r="C33" i="5" s="1"/>
  <c r="C39" i="5" s="1"/>
  <c r="B21" i="5"/>
  <c r="B27" i="5" s="1"/>
  <c r="B33" i="5" s="1"/>
  <c r="B39" i="5" s="1"/>
  <c r="F20" i="5"/>
  <c r="C20" i="5"/>
  <c r="C26" i="5" s="1"/>
  <c r="C32" i="5" s="1"/>
  <c r="C38" i="5" s="1"/>
  <c r="F19" i="5"/>
  <c r="F25" i="5" s="1"/>
  <c r="F31" i="5" s="1"/>
  <c r="F37" i="5" s="1"/>
  <c r="E19" i="5"/>
  <c r="E25" i="5" s="1"/>
  <c r="E31" i="5" s="1"/>
  <c r="E37" i="5" s="1"/>
  <c r="C19" i="5"/>
  <c r="C25" i="5" s="1"/>
  <c r="C31" i="5" s="1"/>
  <c r="C37" i="5" s="1"/>
  <c r="B19" i="5"/>
  <c r="B25" i="5" s="1"/>
  <c r="B31" i="5" s="1"/>
  <c r="B37" i="5" s="1"/>
  <c r="F18" i="5"/>
  <c r="F24" i="5" s="1"/>
  <c r="F30" i="5" s="1"/>
  <c r="F36" i="5" s="1"/>
  <c r="C18" i="5"/>
  <c r="C24" i="5" s="1"/>
  <c r="C30" i="5" s="1"/>
  <c r="C36" i="5" s="1"/>
  <c r="B18" i="5"/>
  <c r="G11" i="1"/>
  <c r="G12" i="1" s="1"/>
  <c r="G13" i="1" s="1"/>
  <c r="C11" i="1"/>
  <c r="C12" i="1" s="1"/>
  <c r="C13" i="1" s="1"/>
  <c r="J8" i="1"/>
  <c r="J11" i="1" s="1"/>
  <c r="J12" i="1" s="1"/>
  <c r="J13" i="1" s="1"/>
  <c r="I8" i="1"/>
  <c r="I11" i="1" s="1"/>
  <c r="I12" i="1" s="1"/>
  <c r="I13" i="1" s="1"/>
  <c r="H8" i="1"/>
  <c r="H11" i="1" s="1"/>
  <c r="H12" i="1" s="1"/>
  <c r="H13" i="1" s="1"/>
  <c r="G8" i="1"/>
  <c r="F8" i="1"/>
  <c r="F11" i="1" s="1"/>
  <c r="F12" i="1" s="1"/>
  <c r="F13" i="1" s="1"/>
  <c r="E8" i="1"/>
  <c r="E11" i="1" s="1"/>
  <c r="E12" i="1" s="1"/>
  <c r="E13" i="1" s="1"/>
  <c r="D8" i="1"/>
  <c r="D11" i="1" s="1"/>
  <c r="D12" i="1" s="1"/>
  <c r="D13" i="1" s="1"/>
  <c r="C8" i="1"/>
  <c r="B8" i="1"/>
  <c r="B11" i="1" s="1"/>
  <c r="B12" i="1" s="1"/>
  <c r="B13" i="1" s="1"/>
  <c r="B6" i="10"/>
  <c r="F11" i="13"/>
  <c r="E11" i="13"/>
  <c r="B11" i="13"/>
  <c r="F10" i="13"/>
  <c r="B10" i="13"/>
  <c r="E13" i="11"/>
  <c r="D13" i="11"/>
  <c r="K12" i="11"/>
  <c r="H12" i="11"/>
  <c r="G12" i="11"/>
  <c r="E12" i="11"/>
  <c r="D12" i="11"/>
  <c r="C12" i="11"/>
  <c r="J11" i="11"/>
  <c r="G11" i="11"/>
  <c r="E11" i="11"/>
  <c r="D11" i="11"/>
  <c r="C11" i="11"/>
  <c r="B11" i="11"/>
  <c r="F15" i="5"/>
  <c r="C15" i="5"/>
  <c r="B15" i="5"/>
  <c r="F14" i="5"/>
  <c r="C14" i="5"/>
  <c r="F13" i="5"/>
  <c r="E13" i="5"/>
  <c r="C13" i="5"/>
  <c r="B13" i="5"/>
  <c r="F12" i="5"/>
  <c r="C12" i="5"/>
  <c r="B12" i="5"/>
  <c r="J6" i="1"/>
  <c r="I6" i="1"/>
  <c r="H6" i="1"/>
  <c r="G6" i="1"/>
  <c r="F6" i="1"/>
  <c r="E6" i="1"/>
  <c r="D6" i="1"/>
  <c r="C6" i="1"/>
  <c r="B6" i="1"/>
  <c r="K11" i="11" l="1"/>
  <c r="H22" i="11"/>
  <c r="H27" i="11" s="1"/>
  <c r="H32" i="11" s="1"/>
  <c r="E15" i="13"/>
  <c r="E19" i="13" s="1"/>
  <c r="E23" i="13" s="1"/>
  <c r="E27" i="13" s="1"/>
  <c r="E12" i="5"/>
  <c r="B14" i="5"/>
  <c r="E57" i="5"/>
  <c r="E58" i="5"/>
  <c r="G66" i="11" l="1"/>
  <c r="H66" i="11"/>
  <c r="I66" i="11"/>
  <c r="J66" i="11"/>
  <c r="K66" i="11"/>
  <c r="L66" i="11"/>
  <c r="M66" i="11"/>
  <c r="C66" i="11"/>
  <c r="E66" i="11" l="1"/>
  <c r="D66" i="11"/>
  <c r="B19" i="1" l="1"/>
  <c r="F19" i="1"/>
  <c r="J19" i="1"/>
  <c r="B56" i="5"/>
  <c r="B57" i="5"/>
  <c r="F58" i="5"/>
  <c r="G48" i="11"/>
  <c r="G49" i="11"/>
  <c r="D50" i="11"/>
  <c r="F41" i="13"/>
  <c r="B19" i="10"/>
  <c r="E49" i="11"/>
  <c r="C19" i="1"/>
  <c r="G19" i="1"/>
  <c r="B55" i="5"/>
  <c r="C56" i="5"/>
  <c r="I56" i="5" s="1"/>
  <c r="C57" i="5"/>
  <c r="I57" i="5" s="1"/>
  <c r="B48" i="11"/>
  <c r="H48" i="11"/>
  <c r="H49" i="11"/>
  <c r="E50" i="11"/>
  <c r="B42" i="13"/>
  <c r="E55" i="5"/>
  <c r="D19" i="1"/>
  <c r="H19" i="1"/>
  <c r="C55" i="5"/>
  <c r="I55" i="5" s="1"/>
  <c r="E56" i="5"/>
  <c r="B58" i="5"/>
  <c r="C48" i="11"/>
  <c r="C49" i="11"/>
  <c r="J49" i="11"/>
  <c r="K50" i="11"/>
  <c r="E42" i="13"/>
  <c r="F57" i="5"/>
  <c r="K49" i="11"/>
  <c r="E19" i="1"/>
  <c r="I19" i="1"/>
  <c r="F55" i="5"/>
  <c r="F56" i="5"/>
  <c r="C58" i="5"/>
  <c r="E48" i="11"/>
  <c r="D49" i="11"/>
  <c r="B41" i="13"/>
  <c r="F42" i="13"/>
  <c r="D48" i="11"/>
  <c r="K42" i="11"/>
  <c r="J42" i="11"/>
  <c r="J64" i="11" s="1"/>
  <c r="E50" i="5"/>
  <c r="E51" i="5"/>
  <c r="I58" i="5" l="1"/>
  <c r="D58" i="5"/>
  <c r="D56" i="5"/>
  <c r="E41" i="13"/>
  <c r="D55" i="5"/>
  <c r="D57" i="5"/>
  <c r="K64" i="11"/>
  <c r="N19" i="11"/>
  <c r="N13" i="11"/>
  <c r="N66" i="11" s="1"/>
  <c r="M18" i="11"/>
  <c r="M12" i="11"/>
  <c r="N11" i="11" l="1"/>
  <c r="N17" i="11"/>
  <c r="M17" i="11"/>
  <c r="N12" i="11"/>
  <c r="N18" i="11"/>
  <c r="G7" i="5"/>
  <c r="G6" i="5"/>
  <c r="G18" i="5" l="1"/>
  <c r="G24" i="5" s="1"/>
  <c r="G30" i="5" s="1"/>
  <c r="G36" i="5" s="1"/>
  <c r="G12" i="5"/>
  <c r="G19" i="5"/>
  <c r="G25" i="5" s="1"/>
  <c r="G31" i="5" s="1"/>
  <c r="G37" i="5" s="1"/>
  <c r="G13" i="5"/>
  <c r="G9" i="5"/>
  <c r="G8" i="5"/>
  <c r="M11" i="11"/>
  <c r="H38" i="7"/>
  <c r="L38" i="7"/>
  <c r="G20" i="5" l="1"/>
  <c r="G26" i="5" s="1"/>
  <c r="G32" i="5" s="1"/>
  <c r="G38" i="5" s="1"/>
  <c r="G14" i="5"/>
  <c r="G21" i="5"/>
  <c r="G27" i="5" s="1"/>
  <c r="G33" i="5" s="1"/>
  <c r="G39" i="5" s="1"/>
  <c r="G15" i="5"/>
  <c r="G56" i="5"/>
  <c r="H56" i="5" s="1"/>
  <c r="J56" i="5" s="1"/>
  <c r="G55" i="5"/>
  <c r="H55" i="5" s="1"/>
  <c r="J55" i="5" s="1"/>
  <c r="G57" i="5" l="1"/>
  <c r="H57" i="5" s="1"/>
  <c r="J57" i="5" s="1"/>
  <c r="G58" i="5"/>
  <c r="H58" i="5" s="1"/>
  <c r="J58" i="5" s="1"/>
  <c r="N24" i="11"/>
  <c r="M23" i="11"/>
  <c r="H37" i="2"/>
  <c r="N23" i="11" l="1"/>
  <c r="N34" i="11"/>
  <c r="N29" i="11"/>
  <c r="N22" i="11"/>
  <c r="M33" i="11"/>
  <c r="M28" i="11"/>
  <c r="N33" i="11"/>
  <c r="N28" i="11"/>
  <c r="M22" i="11"/>
  <c r="L42" i="11"/>
  <c r="N32" i="11" l="1"/>
  <c r="N27" i="11"/>
  <c r="M32" i="11"/>
  <c r="M27" i="11"/>
  <c r="L27" i="11" l="1"/>
  <c r="B36" i="9" l="1"/>
  <c r="B15" i="10" l="1"/>
  <c r="B17" i="10" l="1"/>
  <c r="B12" i="9"/>
  <c r="B22" i="10" l="1"/>
  <c r="B37" i="9" s="1"/>
  <c r="F39" i="2" l="1"/>
  <c r="E39" i="2"/>
  <c r="D39" i="2"/>
  <c r="C39" i="2"/>
  <c r="K39" i="2"/>
  <c r="J39" i="2"/>
  <c r="G39" i="2"/>
  <c r="B39" i="2"/>
  <c r="I39" i="2" l="1"/>
  <c r="H39" i="2"/>
  <c r="B26" i="11"/>
  <c r="N50" i="11"/>
  <c r="B47" i="11"/>
  <c r="B16" i="11"/>
  <c r="B10" i="11"/>
  <c r="I38" i="6"/>
  <c r="G38" i="6"/>
  <c r="H38" i="6"/>
  <c r="B37" i="2"/>
  <c r="K8" i="1"/>
  <c r="L37" i="2" s="1"/>
  <c r="I37" i="2"/>
  <c r="K37" i="2"/>
  <c r="E37" i="2"/>
  <c r="F37" i="2"/>
  <c r="G37" i="2"/>
  <c r="J37" i="2"/>
  <c r="C37" i="2"/>
  <c r="D37" i="2"/>
  <c r="M49" i="11" l="1"/>
  <c r="N49" i="11"/>
  <c r="G39" i="7" s="1"/>
  <c r="D19" i="13"/>
  <c r="D41" i="13"/>
  <c r="D42" i="13"/>
  <c r="N48" i="11"/>
  <c r="K38" i="11"/>
  <c r="K43" i="11" s="1"/>
  <c r="K65" i="11" s="1"/>
  <c r="F22" i="11"/>
  <c r="J38" i="6"/>
  <c r="B43" i="5"/>
  <c r="G54" i="5"/>
  <c r="F54" i="5"/>
  <c r="E54" i="5"/>
  <c r="B18" i="13"/>
  <c r="D15" i="13"/>
  <c r="B14" i="13"/>
  <c r="I11" i="13"/>
  <c r="D16" i="13"/>
  <c r="B31" i="11"/>
  <c r="L12" i="11"/>
  <c r="L18" i="11"/>
  <c r="J47" i="11"/>
  <c r="J16" i="11"/>
  <c r="H16" i="11"/>
  <c r="H47" i="11"/>
  <c r="G37" i="7"/>
  <c r="F18" i="11"/>
  <c r="C21" i="11"/>
  <c r="K16" i="11"/>
  <c r="I17" i="11"/>
  <c r="G16" i="11"/>
  <c r="G47" i="11"/>
  <c r="F19" i="11"/>
  <c r="H37" i="7"/>
  <c r="D16" i="11"/>
  <c r="L19" i="11"/>
  <c r="L50" i="11"/>
  <c r="I18" i="11"/>
  <c r="I49" i="11"/>
  <c r="O18" i="11"/>
  <c r="K37" i="7" s="1"/>
  <c r="F17" i="11"/>
  <c r="C16" i="11"/>
  <c r="O13" i="11"/>
  <c r="O66" i="11" s="1"/>
  <c r="O19" i="11"/>
  <c r="L37" i="7" s="1"/>
  <c r="E16" i="11"/>
  <c r="O17" i="11"/>
  <c r="B21" i="11"/>
  <c r="I19" i="5"/>
  <c r="H36" i="6" s="1"/>
  <c r="I21" i="5"/>
  <c r="J36" i="6" s="1"/>
  <c r="F17" i="5"/>
  <c r="H19" i="5"/>
  <c r="D19" i="5"/>
  <c r="H21" i="5"/>
  <c r="D21" i="5"/>
  <c r="G17" i="5"/>
  <c r="I18" i="5"/>
  <c r="G36" i="6" s="1"/>
  <c r="C17" i="5"/>
  <c r="I20" i="5"/>
  <c r="I36" i="6" s="1"/>
  <c r="E17" i="5"/>
  <c r="D18" i="5"/>
  <c r="B17" i="5"/>
  <c r="H18" i="5"/>
  <c r="D20" i="5"/>
  <c r="H20" i="5"/>
  <c r="I14" i="5"/>
  <c r="I13" i="5"/>
  <c r="I15" i="5"/>
  <c r="K19" i="1"/>
  <c r="H15" i="1"/>
  <c r="K11" i="1"/>
  <c r="K6" i="1"/>
  <c r="L39" i="2" l="1"/>
  <c r="B49" i="5"/>
  <c r="H17" i="1"/>
  <c r="C47" i="11"/>
  <c r="M48" i="11"/>
  <c r="B39" i="7" s="1"/>
  <c r="K36" i="6"/>
  <c r="B44" i="5"/>
  <c r="O22" i="11"/>
  <c r="B45" i="5"/>
  <c r="O38" i="6"/>
  <c r="E38" i="6"/>
  <c r="K38" i="6"/>
  <c r="B29" i="5"/>
  <c r="H24" i="5"/>
  <c r="J24" i="5" s="1"/>
  <c r="D20" i="13"/>
  <c r="D18" i="13" s="1"/>
  <c r="G42" i="5"/>
  <c r="G48" i="5" s="1"/>
  <c r="F42" i="5"/>
  <c r="F48" i="5" s="1"/>
  <c r="D47" i="11"/>
  <c r="B54" i="5"/>
  <c r="F24" i="11"/>
  <c r="K47" i="11"/>
  <c r="I54" i="5"/>
  <c r="C54" i="5"/>
  <c r="O48" i="11"/>
  <c r="J39" i="7" s="1"/>
  <c r="E47" i="11"/>
  <c r="B40" i="13"/>
  <c r="B35" i="5"/>
  <c r="H30" i="5"/>
  <c r="B23" i="5"/>
  <c r="I12" i="11"/>
  <c r="D24" i="13"/>
  <c r="E9" i="13"/>
  <c r="G10" i="13"/>
  <c r="H11" i="13"/>
  <c r="D11" i="13"/>
  <c r="B37" i="11"/>
  <c r="B42" i="11" s="1"/>
  <c r="G11" i="13"/>
  <c r="D40" i="13"/>
  <c r="D14" i="13"/>
  <c r="B9" i="13"/>
  <c r="H10" i="13"/>
  <c r="D10" i="13"/>
  <c r="F9" i="13"/>
  <c r="I10" i="13"/>
  <c r="D23" i="13"/>
  <c r="B22" i="13"/>
  <c r="O49" i="11"/>
  <c r="K39" i="7" s="1"/>
  <c r="D21" i="11"/>
  <c r="O12" i="11"/>
  <c r="I48" i="11"/>
  <c r="I47" i="11" s="1"/>
  <c r="H10" i="11"/>
  <c r="D10" i="11"/>
  <c r="F48" i="11"/>
  <c r="D37" i="11"/>
  <c r="D42" i="11" s="1"/>
  <c r="H21" i="11"/>
  <c r="F27" i="11"/>
  <c r="C37" i="11"/>
  <c r="C42" i="11" s="1"/>
  <c r="O24" i="11"/>
  <c r="J37" i="7"/>
  <c r="O16" i="11"/>
  <c r="O50" i="11"/>
  <c r="L39" i="7" s="1"/>
  <c r="I22" i="11"/>
  <c r="G21" i="11"/>
  <c r="H39" i="7"/>
  <c r="F50" i="11"/>
  <c r="I16" i="11"/>
  <c r="L23" i="11"/>
  <c r="J21" i="11"/>
  <c r="F39" i="7"/>
  <c r="C37" i="7"/>
  <c r="P18" i="11"/>
  <c r="O37" i="7" s="1"/>
  <c r="L49" i="11"/>
  <c r="L47" i="11" s="1"/>
  <c r="L11" i="11"/>
  <c r="L64" i="11" s="1"/>
  <c r="J10" i="11"/>
  <c r="O27" i="11"/>
  <c r="L24" i="11"/>
  <c r="O11" i="11"/>
  <c r="E10" i="11"/>
  <c r="I23" i="11"/>
  <c r="O23" i="11"/>
  <c r="F11" i="11"/>
  <c r="C10" i="11"/>
  <c r="F16" i="11"/>
  <c r="P19" i="11"/>
  <c r="P37" i="7" s="1"/>
  <c r="L16" i="11"/>
  <c r="E21" i="11"/>
  <c r="F13" i="11"/>
  <c r="F66" i="11" s="1"/>
  <c r="F12" i="11"/>
  <c r="K21" i="11"/>
  <c r="B37" i="7"/>
  <c r="P17" i="11"/>
  <c r="M16" i="11"/>
  <c r="I11" i="11"/>
  <c r="G10" i="11"/>
  <c r="F23" i="11"/>
  <c r="F37" i="7"/>
  <c r="N16" i="11"/>
  <c r="F49" i="11"/>
  <c r="C39" i="7"/>
  <c r="K10" i="11"/>
  <c r="F23" i="5"/>
  <c r="G43" i="5"/>
  <c r="F43" i="5"/>
  <c r="H27" i="5"/>
  <c r="J27" i="5" s="1"/>
  <c r="G23" i="5"/>
  <c r="E11" i="5"/>
  <c r="E23" i="5"/>
  <c r="I17" i="5"/>
  <c r="I25" i="5"/>
  <c r="J18" i="5"/>
  <c r="L36" i="6" s="1"/>
  <c r="B36" i="6"/>
  <c r="I26" i="5"/>
  <c r="J20" i="5"/>
  <c r="N36" i="6" s="1"/>
  <c r="D36" i="6"/>
  <c r="D17" i="5"/>
  <c r="H17" i="5"/>
  <c r="H26" i="5"/>
  <c r="J26" i="5" s="1"/>
  <c r="J19" i="5"/>
  <c r="M36" i="6" s="1"/>
  <c r="C36" i="6"/>
  <c r="F11" i="5"/>
  <c r="H25" i="5"/>
  <c r="J25" i="5" s="1"/>
  <c r="C23" i="5"/>
  <c r="I24" i="5"/>
  <c r="E42" i="5"/>
  <c r="E48" i="5" s="1"/>
  <c r="D26" i="5"/>
  <c r="D24" i="5"/>
  <c r="I27" i="5"/>
  <c r="J21" i="5"/>
  <c r="O36" i="6" s="1"/>
  <c r="E36" i="6"/>
  <c r="D27" i="5"/>
  <c r="D25" i="5"/>
  <c r="H13" i="5"/>
  <c r="D13" i="5"/>
  <c r="H14" i="5"/>
  <c r="D14" i="5"/>
  <c r="I12" i="5"/>
  <c r="C11" i="5"/>
  <c r="I11" i="5" s="1"/>
  <c r="H15" i="5"/>
  <c r="D15" i="5"/>
  <c r="G11" i="5"/>
  <c r="D12" i="5"/>
  <c r="H12" i="5"/>
  <c r="B11" i="5"/>
  <c r="E15" i="1"/>
  <c r="G15" i="1"/>
  <c r="C15" i="1"/>
  <c r="F15" i="1"/>
  <c r="I15" i="1"/>
  <c r="J15" i="1"/>
  <c r="J17" i="1" s="1"/>
  <c r="K38" i="2" s="1"/>
  <c r="K13" i="1"/>
  <c r="K12" i="1"/>
  <c r="D15" i="1"/>
  <c r="M37" i="7" l="1"/>
  <c r="C64" i="11"/>
  <c r="D64" i="11"/>
  <c r="B50" i="5"/>
  <c r="B51" i="5"/>
  <c r="G61" i="5"/>
  <c r="C17" i="1"/>
  <c r="C38" i="2" s="1"/>
  <c r="F49" i="5"/>
  <c r="F62" i="5" s="1"/>
  <c r="G49" i="5"/>
  <c r="H38" i="2"/>
  <c r="I38" i="2"/>
  <c r="F17" i="1"/>
  <c r="F38" i="2" s="1"/>
  <c r="G17" i="1"/>
  <c r="G38" i="2" s="1"/>
  <c r="D17" i="1"/>
  <c r="D38" i="2" s="1"/>
  <c r="I17" i="1"/>
  <c r="J38" i="2" s="1"/>
  <c r="E17" i="1"/>
  <c r="E38" i="2" s="1"/>
  <c r="H22" i="1"/>
  <c r="B36" i="11"/>
  <c r="F36" i="6"/>
  <c r="E39" i="7"/>
  <c r="P22" i="11"/>
  <c r="P36" i="6"/>
  <c r="N38" i="6"/>
  <c r="D38" i="6"/>
  <c r="M39" i="7"/>
  <c r="I39" i="7"/>
  <c r="L38" i="6"/>
  <c r="B38" i="6"/>
  <c r="M38" i="6"/>
  <c r="C38" i="6"/>
  <c r="B42" i="5"/>
  <c r="N47" i="11"/>
  <c r="F47" i="11"/>
  <c r="B53" i="11"/>
  <c r="F61" i="5"/>
  <c r="M47" i="11"/>
  <c r="O47" i="11"/>
  <c r="J22" i="1"/>
  <c r="D54" i="5"/>
  <c r="H54" i="5"/>
  <c r="I37" i="7"/>
  <c r="H36" i="5"/>
  <c r="P49" i="11"/>
  <c r="O39" i="7" s="1"/>
  <c r="J11" i="13"/>
  <c r="I9" i="13"/>
  <c r="J10" i="13"/>
  <c r="H9" i="13"/>
  <c r="G9" i="13"/>
  <c r="D28" i="13"/>
  <c r="D27" i="13"/>
  <c r="B26" i="13"/>
  <c r="B30" i="13" s="1"/>
  <c r="D9" i="13"/>
  <c r="D22" i="13"/>
  <c r="F21" i="11"/>
  <c r="P50" i="11"/>
  <c r="P39" i="7" s="1"/>
  <c r="P24" i="11"/>
  <c r="P23" i="11"/>
  <c r="O21" i="11"/>
  <c r="I10" i="11"/>
  <c r="H38" i="11"/>
  <c r="M21" i="11"/>
  <c r="O10" i="11"/>
  <c r="L10" i="11"/>
  <c r="F28" i="11"/>
  <c r="C31" i="11"/>
  <c r="O28" i="11"/>
  <c r="O33" i="11"/>
  <c r="O32" i="11"/>
  <c r="E37" i="11"/>
  <c r="K54" i="11"/>
  <c r="O29" i="11"/>
  <c r="E39" i="11"/>
  <c r="M10" i="11"/>
  <c r="P11" i="11"/>
  <c r="N37" i="7"/>
  <c r="P16" i="11"/>
  <c r="L21" i="11"/>
  <c r="P48" i="11"/>
  <c r="N39" i="7" s="1"/>
  <c r="L28" i="11"/>
  <c r="J26" i="11"/>
  <c r="I27" i="11"/>
  <c r="G26" i="11"/>
  <c r="N21" i="11"/>
  <c r="F32" i="11"/>
  <c r="H26" i="11"/>
  <c r="I28" i="11"/>
  <c r="I33" i="11"/>
  <c r="P13" i="11"/>
  <c r="P66" i="11" s="1"/>
  <c r="L29" i="11"/>
  <c r="K39" i="11"/>
  <c r="K26" i="11"/>
  <c r="D26" i="11"/>
  <c r="N10" i="11"/>
  <c r="E37" i="7"/>
  <c r="P12" i="11"/>
  <c r="F29" i="11"/>
  <c r="F10" i="11"/>
  <c r="E26" i="11"/>
  <c r="C26" i="11"/>
  <c r="I21" i="11"/>
  <c r="H23" i="5"/>
  <c r="J23" i="5" s="1"/>
  <c r="G45" i="5"/>
  <c r="I23" i="5"/>
  <c r="J17" i="5"/>
  <c r="H39" i="5"/>
  <c r="H33" i="5"/>
  <c r="J33" i="5" s="1"/>
  <c r="D23" i="5"/>
  <c r="I31" i="5"/>
  <c r="C43" i="5"/>
  <c r="C49" i="5" s="1"/>
  <c r="D31" i="5"/>
  <c r="B62" i="5"/>
  <c r="G29" i="5"/>
  <c r="I30" i="5"/>
  <c r="C29" i="5"/>
  <c r="C42" i="5"/>
  <c r="C48" i="5" s="1"/>
  <c r="D30" i="5"/>
  <c r="J30" i="5"/>
  <c r="I32" i="5"/>
  <c r="C44" i="5"/>
  <c r="C50" i="5" s="1"/>
  <c r="D32" i="5"/>
  <c r="I33" i="5"/>
  <c r="C45" i="5"/>
  <c r="C51" i="5" s="1"/>
  <c r="D33" i="5"/>
  <c r="H32" i="5"/>
  <c r="J32" i="5" s="1"/>
  <c r="F29" i="5"/>
  <c r="E29" i="5"/>
  <c r="H31" i="5"/>
  <c r="J31" i="5" s="1"/>
  <c r="D11" i="5"/>
  <c r="H11" i="5"/>
  <c r="J11" i="5" s="1"/>
  <c r="J12" i="5"/>
  <c r="J15" i="5"/>
  <c r="J13" i="5"/>
  <c r="J14" i="5"/>
  <c r="B15" i="1"/>
  <c r="Q37" i="7" l="1"/>
  <c r="B63" i="5"/>
  <c r="B64" i="5"/>
  <c r="G62" i="5"/>
  <c r="B17" i="1"/>
  <c r="B38" i="2" s="1"/>
  <c r="F22" i="1"/>
  <c r="E22" i="1"/>
  <c r="D22" i="1"/>
  <c r="I22" i="1"/>
  <c r="G22" i="1"/>
  <c r="H42" i="5"/>
  <c r="H48" i="5" s="1"/>
  <c r="B37" i="6" s="1"/>
  <c r="B48" i="5"/>
  <c r="B61" i="5" s="1"/>
  <c r="G51" i="5"/>
  <c r="H43" i="11"/>
  <c r="F37" i="11"/>
  <c r="E42" i="11"/>
  <c r="E64" i="11" s="1"/>
  <c r="C22" i="1"/>
  <c r="B52" i="11"/>
  <c r="F38" i="6"/>
  <c r="Q39" i="7"/>
  <c r="P38" i="6"/>
  <c r="J54" i="5"/>
  <c r="B41" i="5"/>
  <c r="D43" i="5"/>
  <c r="D49" i="5" s="1"/>
  <c r="B41" i="11"/>
  <c r="B32" i="13"/>
  <c r="B31" i="13"/>
  <c r="E61" i="5"/>
  <c r="P47" i="11"/>
  <c r="D26" i="13"/>
  <c r="D32" i="13" s="1"/>
  <c r="J9" i="13"/>
  <c r="P21" i="11"/>
  <c r="E31" i="11"/>
  <c r="E38" i="11"/>
  <c r="E43" i="11" s="1"/>
  <c r="E65" i="11" s="1"/>
  <c r="O26" i="11"/>
  <c r="P28" i="11"/>
  <c r="L26" i="11"/>
  <c r="L33" i="11"/>
  <c r="J31" i="11"/>
  <c r="J38" i="11"/>
  <c r="J43" i="11" s="1"/>
  <c r="P29" i="11"/>
  <c r="H31" i="11"/>
  <c r="H37" i="11"/>
  <c r="I32" i="11"/>
  <c r="G31" i="11"/>
  <c r="G37" i="11"/>
  <c r="P10" i="11"/>
  <c r="N26" i="11"/>
  <c r="L39" i="11"/>
  <c r="K36" i="11"/>
  <c r="K41" i="11" s="1"/>
  <c r="K52" i="11" s="1"/>
  <c r="D31" i="11"/>
  <c r="I26" i="11"/>
  <c r="C53" i="11"/>
  <c r="G38" i="11"/>
  <c r="G43" i="11" s="1"/>
  <c r="F34" i="11"/>
  <c r="D39" i="11"/>
  <c r="N39" i="11" s="1"/>
  <c r="P27" i="11"/>
  <c r="M26" i="11"/>
  <c r="F33" i="11"/>
  <c r="D53" i="11"/>
  <c r="F26" i="11"/>
  <c r="L34" i="11"/>
  <c r="K31" i="11"/>
  <c r="O39" i="11"/>
  <c r="C38" i="11"/>
  <c r="C43" i="11" s="1"/>
  <c r="O34" i="11"/>
  <c r="O31" i="11" s="1"/>
  <c r="O37" i="11"/>
  <c r="D38" i="11"/>
  <c r="D43" i="11" s="1"/>
  <c r="H29" i="5"/>
  <c r="J29" i="5" s="1"/>
  <c r="H37" i="5"/>
  <c r="J37" i="5" s="1"/>
  <c r="E43" i="5"/>
  <c r="E35" i="5"/>
  <c r="I39" i="5"/>
  <c r="D39" i="5"/>
  <c r="I43" i="5"/>
  <c r="I49" i="5" s="1"/>
  <c r="I29" i="5"/>
  <c r="D29" i="5"/>
  <c r="I37" i="5"/>
  <c r="D37" i="5"/>
  <c r="J39" i="5"/>
  <c r="H38" i="5"/>
  <c r="J38" i="5" s="1"/>
  <c r="F35" i="5"/>
  <c r="F44" i="5"/>
  <c r="F50" i="5" s="1"/>
  <c r="F45" i="5"/>
  <c r="F51" i="5" s="1"/>
  <c r="I38" i="5"/>
  <c r="D38" i="5"/>
  <c r="D44" i="5"/>
  <c r="D50" i="5" s="1"/>
  <c r="I36" i="5"/>
  <c r="C35" i="5"/>
  <c r="D36" i="5"/>
  <c r="J36" i="5"/>
  <c r="G35" i="5"/>
  <c r="G44" i="5"/>
  <c r="G50" i="5" s="1"/>
  <c r="D45" i="5"/>
  <c r="D51" i="5" s="1"/>
  <c r="K15" i="1"/>
  <c r="J65" i="11" l="1"/>
  <c r="K17" i="1"/>
  <c r="L38" i="2" s="1"/>
  <c r="B47" i="5"/>
  <c r="H54" i="11"/>
  <c r="H65" i="11"/>
  <c r="D65" i="11"/>
  <c r="G65" i="11"/>
  <c r="C65" i="11"/>
  <c r="G64" i="5"/>
  <c r="M43" i="11"/>
  <c r="M65" i="11" s="1"/>
  <c r="B22" i="1"/>
  <c r="K22" i="1" s="1"/>
  <c r="L43" i="11"/>
  <c r="L65" i="11" s="1"/>
  <c r="E41" i="5"/>
  <c r="E49" i="5"/>
  <c r="E47" i="5" s="1"/>
  <c r="B37" i="13"/>
  <c r="I43" i="11"/>
  <c r="I65" i="11" s="1"/>
  <c r="M37" i="11"/>
  <c r="G42" i="11"/>
  <c r="N37" i="11"/>
  <c r="H42" i="11"/>
  <c r="N43" i="11"/>
  <c r="N65" i="11" s="1"/>
  <c r="B36" i="13"/>
  <c r="M38" i="11"/>
  <c r="N38" i="11"/>
  <c r="F31" i="11"/>
  <c r="G41" i="5"/>
  <c r="B60" i="5"/>
  <c r="F41" i="5"/>
  <c r="C41" i="5"/>
  <c r="D41" i="5" s="1"/>
  <c r="D42" i="5"/>
  <c r="D48" i="5" s="1"/>
  <c r="D31" i="13"/>
  <c r="D30" i="13"/>
  <c r="L31" i="11"/>
  <c r="E36" i="11"/>
  <c r="E41" i="11" s="1"/>
  <c r="E52" i="11" s="1"/>
  <c r="O38" i="11"/>
  <c r="O36" i="11" s="1"/>
  <c r="P33" i="11"/>
  <c r="P26" i="11"/>
  <c r="E53" i="11"/>
  <c r="O53" i="11" s="1"/>
  <c r="O42" i="11"/>
  <c r="E55" i="11"/>
  <c r="E54" i="11"/>
  <c r="O54" i="11" s="1"/>
  <c r="O43" i="11"/>
  <c r="F39" i="11"/>
  <c r="P39" i="11"/>
  <c r="I37" i="11"/>
  <c r="G36" i="11"/>
  <c r="J36" i="11"/>
  <c r="L36" i="11" s="1"/>
  <c r="L38" i="11"/>
  <c r="D36" i="11"/>
  <c r="M31" i="11"/>
  <c r="P32" i="11"/>
  <c r="P34" i="11"/>
  <c r="F42" i="11"/>
  <c r="F64" i="11" s="1"/>
  <c r="I31" i="11"/>
  <c r="N31" i="11"/>
  <c r="F38" i="11"/>
  <c r="C36" i="11"/>
  <c r="K55" i="11"/>
  <c r="L55" i="11" s="1"/>
  <c r="I38" i="11"/>
  <c r="H36" i="11"/>
  <c r="I42" i="5"/>
  <c r="I48" i="5" s="1"/>
  <c r="I35" i="5"/>
  <c r="D35" i="5"/>
  <c r="H44" i="5"/>
  <c r="C62" i="5"/>
  <c r="D62" i="5" s="1"/>
  <c r="H37" i="6"/>
  <c r="H35" i="5"/>
  <c r="J35" i="5" s="1"/>
  <c r="I45" i="5"/>
  <c r="I51" i="5" s="1"/>
  <c r="H61" i="5"/>
  <c r="H45" i="5"/>
  <c r="H43" i="5"/>
  <c r="H49" i="5" s="1"/>
  <c r="J42" i="5"/>
  <c r="I44" i="5"/>
  <c r="I50" i="5" s="1"/>
  <c r="J38" i="7" l="1"/>
  <c r="O64" i="11"/>
  <c r="B46" i="13"/>
  <c r="K38" i="7"/>
  <c r="O65" i="11"/>
  <c r="G64" i="11"/>
  <c r="H64" i="11"/>
  <c r="B45" i="13"/>
  <c r="H53" i="11"/>
  <c r="N53" i="11" s="1"/>
  <c r="I42" i="11"/>
  <c r="I64" i="11" s="1"/>
  <c r="M42" i="11"/>
  <c r="J45" i="5"/>
  <c r="H51" i="5"/>
  <c r="D37" i="13"/>
  <c r="D46" i="13" s="1"/>
  <c r="J44" i="5"/>
  <c r="H50" i="5"/>
  <c r="B35" i="13"/>
  <c r="B44" i="13" s="1"/>
  <c r="H41" i="11"/>
  <c r="H52" i="11" s="1"/>
  <c r="N42" i="11"/>
  <c r="D36" i="13"/>
  <c r="I41" i="5"/>
  <c r="F47" i="5"/>
  <c r="G63" i="5"/>
  <c r="G60" i="5" s="1"/>
  <c r="G47" i="5"/>
  <c r="J43" i="5"/>
  <c r="H41" i="5"/>
  <c r="C47" i="5"/>
  <c r="D47" i="5" s="1"/>
  <c r="P38" i="11"/>
  <c r="P31" i="11"/>
  <c r="O55" i="11"/>
  <c r="I36" i="11"/>
  <c r="F43" i="11"/>
  <c r="F65" i="11" s="1"/>
  <c r="C54" i="11"/>
  <c r="C38" i="7"/>
  <c r="C41" i="11"/>
  <c r="G53" i="11"/>
  <c r="M53" i="11" s="1"/>
  <c r="F53" i="11"/>
  <c r="F36" i="11"/>
  <c r="J54" i="11"/>
  <c r="L54" i="11" s="1"/>
  <c r="J41" i="11"/>
  <c r="O41" i="11"/>
  <c r="O52" i="11" s="1"/>
  <c r="G41" i="11"/>
  <c r="G54" i="11"/>
  <c r="I54" i="11" s="1"/>
  <c r="N36" i="11"/>
  <c r="G38" i="7"/>
  <c r="D54" i="11"/>
  <c r="D41" i="11"/>
  <c r="D52" i="11" s="1"/>
  <c r="M36" i="11"/>
  <c r="P37" i="11"/>
  <c r="D55" i="11"/>
  <c r="N55" i="11" s="1"/>
  <c r="F63" i="5"/>
  <c r="C61" i="5"/>
  <c r="G37" i="6"/>
  <c r="C63" i="5"/>
  <c r="D63" i="5" s="1"/>
  <c r="I37" i="6"/>
  <c r="I62" i="5"/>
  <c r="F64" i="5"/>
  <c r="H64" i="5" s="1"/>
  <c r="E62" i="5"/>
  <c r="C37" i="6"/>
  <c r="C64" i="5"/>
  <c r="D64" i="5" s="1"/>
  <c r="J37" i="6"/>
  <c r="J48" i="5"/>
  <c r="L37" i="6" s="1"/>
  <c r="F38" i="7" l="1"/>
  <c r="N64" i="11"/>
  <c r="B38" i="7"/>
  <c r="M64" i="11"/>
  <c r="J41" i="5"/>
  <c r="D35" i="13"/>
  <c r="D44" i="13" s="1"/>
  <c r="D45" i="13"/>
  <c r="N54" i="11"/>
  <c r="M54" i="11"/>
  <c r="K37" i="6"/>
  <c r="J51" i="5"/>
  <c r="O37" i="6" s="1"/>
  <c r="E37" i="6"/>
  <c r="J50" i="5"/>
  <c r="N37" i="6" s="1"/>
  <c r="D37" i="6"/>
  <c r="I47" i="5"/>
  <c r="H62" i="5"/>
  <c r="E60" i="5"/>
  <c r="J61" i="5"/>
  <c r="C60" i="5"/>
  <c r="D60" i="5" s="1"/>
  <c r="D61" i="5"/>
  <c r="M38" i="7"/>
  <c r="J49" i="5"/>
  <c r="H47" i="5"/>
  <c r="H63" i="5"/>
  <c r="J63" i="5" s="1"/>
  <c r="F60" i="5"/>
  <c r="P36" i="11"/>
  <c r="J52" i="11"/>
  <c r="L52" i="11" s="1"/>
  <c r="L41" i="11"/>
  <c r="F41" i="11"/>
  <c r="C52" i="11"/>
  <c r="F52" i="11" s="1"/>
  <c r="P42" i="11"/>
  <c r="P64" i="11" s="1"/>
  <c r="M41" i="11"/>
  <c r="P43" i="11"/>
  <c r="P65" i="11" s="1"/>
  <c r="N41" i="11"/>
  <c r="N52" i="11" s="1"/>
  <c r="F54" i="11"/>
  <c r="F55" i="11"/>
  <c r="G52" i="11"/>
  <c r="I52" i="11" s="1"/>
  <c r="I41" i="11"/>
  <c r="I53" i="11"/>
  <c r="J64" i="5"/>
  <c r="I63" i="5"/>
  <c r="I61" i="5"/>
  <c r="I64" i="5"/>
  <c r="J47" i="5" l="1"/>
  <c r="M37" i="6"/>
  <c r="F37" i="6"/>
  <c r="H60" i="5"/>
  <c r="I60" i="5"/>
  <c r="J62" i="5"/>
  <c r="P54" i="11"/>
  <c r="O38" i="7" s="1"/>
  <c r="M52" i="11"/>
  <c r="P41" i="11"/>
  <c r="P52" i="11" s="1"/>
  <c r="P53" i="11"/>
  <c r="N38" i="7" s="1"/>
  <c r="P55" i="11"/>
  <c r="P38" i="7" s="1"/>
  <c r="P37" i="6" l="1"/>
  <c r="J60" i="5"/>
  <c r="I38" i="7"/>
  <c r="Q38" i="7"/>
  <c r="E38" i="7"/>
  <c r="G20" i="13" l="1"/>
  <c r="H20" i="13"/>
  <c r="H19" i="13"/>
  <c r="E18" i="13"/>
  <c r="I15" i="13"/>
  <c r="I41" i="13" s="1"/>
  <c r="F14" i="13"/>
  <c r="I16" i="13"/>
  <c r="I42" i="13" s="1"/>
  <c r="G19" i="13"/>
  <c r="E14" i="13"/>
  <c r="G15" i="13"/>
  <c r="H15" i="13"/>
  <c r="H41" i="13" s="1"/>
  <c r="I20" i="13"/>
  <c r="G42" i="13"/>
  <c r="G16" i="13"/>
  <c r="H16" i="13"/>
  <c r="H42" i="13" s="1"/>
  <c r="G14" i="13" l="1"/>
  <c r="J16" i="13"/>
  <c r="I37" i="8" s="1"/>
  <c r="C37" i="8"/>
  <c r="E40" i="13"/>
  <c r="H23" i="13"/>
  <c r="E22" i="13"/>
  <c r="H24" i="13"/>
  <c r="G24" i="13"/>
  <c r="H14" i="13"/>
  <c r="B37" i="8"/>
  <c r="J15" i="13"/>
  <c r="I19" i="13"/>
  <c r="I18" i="13" s="1"/>
  <c r="F18" i="13"/>
  <c r="G23" i="13"/>
  <c r="F37" i="8"/>
  <c r="I14" i="13"/>
  <c r="E37" i="8"/>
  <c r="G18" i="13"/>
  <c r="J20" i="13"/>
  <c r="I24" i="13"/>
  <c r="I28" i="13"/>
  <c r="G41" i="13"/>
  <c r="F40" i="13"/>
  <c r="H18" i="13"/>
  <c r="G22" i="13" l="1"/>
  <c r="G37" i="8"/>
  <c r="D37" i="8"/>
  <c r="J41" i="13"/>
  <c r="H40" i="13"/>
  <c r="E26" i="13"/>
  <c r="E30" i="13" s="1"/>
  <c r="H27" i="13"/>
  <c r="G40" i="13"/>
  <c r="J19" i="13"/>
  <c r="J18" i="13" s="1"/>
  <c r="I40" i="13"/>
  <c r="J24" i="13"/>
  <c r="H22" i="13"/>
  <c r="I23" i="13"/>
  <c r="I22" i="13" s="1"/>
  <c r="F22" i="13"/>
  <c r="G27" i="13"/>
  <c r="J14" i="13"/>
  <c r="H37" i="8"/>
  <c r="H28" i="13"/>
  <c r="J28" i="13" s="1"/>
  <c r="G28" i="13"/>
  <c r="J42" i="13"/>
  <c r="J37" i="8" l="1"/>
  <c r="E31" i="13"/>
  <c r="E36" i="13" s="1"/>
  <c r="H36" i="13" s="1"/>
  <c r="E32" i="13"/>
  <c r="G26" i="13"/>
  <c r="G32" i="13" s="1"/>
  <c r="J40" i="13"/>
  <c r="J23" i="13"/>
  <c r="J22" i="13" s="1"/>
  <c r="I27" i="13"/>
  <c r="I26" i="13" s="1"/>
  <c r="I31" i="13" s="1"/>
  <c r="F26" i="13"/>
  <c r="F32" i="13" s="1"/>
  <c r="H26" i="13"/>
  <c r="H30" i="13" s="1"/>
  <c r="E45" i="13" l="1"/>
  <c r="E37" i="13"/>
  <c r="F37" i="13"/>
  <c r="I37" i="13" s="1"/>
  <c r="F38" i="8" s="1"/>
  <c r="B38" i="8"/>
  <c r="H45" i="13"/>
  <c r="B39" i="8" s="1"/>
  <c r="G31" i="13"/>
  <c r="G30" i="13"/>
  <c r="J27" i="13"/>
  <c r="J26" i="13" s="1"/>
  <c r="J30" i="13" s="1"/>
  <c r="H31" i="13"/>
  <c r="H32" i="13"/>
  <c r="F30" i="13"/>
  <c r="F31" i="13"/>
  <c r="F36" i="13" s="1"/>
  <c r="I30" i="13"/>
  <c r="I32" i="13"/>
  <c r="I46" i="13" l="1"/>
  <c r="F39" i="8" s="1"/>
  <c r="F46" i="13"/>
  <c r="G37" i="13"/>
  <c r="G46" i="13" s="1"/>
  <c r="H37" i="13"/>
  <c r="E35" i="13"/>
  <c r="E44" i="13" s="1"/>
  <c r="I36" i="13"/>
  <c r="F35" i="13"/>
  <c r="F44" i="13" s="1"/>
  <c r="F45" i="13"/>
  <c r="G36" i="13"/>
  <c r="E46" i="13"/>
  <c r="J32" i="13"/>
  <c r="J31" i="13"/>
  <c r="E38" i="8" l="1"/>
  <c r="I35" i="13"/>
  <c r="I44" i="13" s="1"/>
  <c r="I45" i="13"/>
  <c r="E39" i="8" s="1"/>
  <c r="J36" i="13"/>
  <c r="G35" i="13"/>
  <c r="G44" i="13" s="1"/>
  <c r="G45" i="13"/>
  <c r="C38" i="8"/>
  <c r="J37" i="13"/>
  <c r="I38" i="8" s="1"/>
  <c r="H35" i="13"/>
  <c r="H44" i="13" s="1"/>
  <c r="H46" i="13"/>
  <c r="C39" i="8" s="1"/>
  <c r="G39" i="8" l="1"/>
  <c r="D39" i="8"/>
  <c r="D38" i="8"/>
  <c r="G38" i="8"/>
  <c r="H38" i="8"/>
  <c r="J35" i="13"/>
  <c r="J44" i="13" s="1"/>
  <c r="J45" i="13"/>
  <c r="H39" i="8" s="1"/>
  <c r="J46" i="13"/>
  <c r="I39" i="8" s="1"/>
  <c r="J38" i="8" l="1"/>
  <c r="J39" i="8"/>
  <c r="B17" i="4" l="1"/>
  <c r="A16" i="6" l="1"/>
  <c r="A15" i="9"/>
  <c r="A17" i="8"/>
  <c r="A17" i="7"/>
  <c r="A17" i="2"/>
  <c r="A19" i="2"/>
  <c r="A19" i="7"/>
  <c r="A18" i="6"/>
  <c r="A19" i="8"/>
  <c r="A17" i="9"/>
  <c r="J23" i="2" l="1"/>
  <c r="J32" i="2" s="1"/>
  <c r="H23" i="2"/>
  <c r="H32" i="2" s="1"/>
  <c r="E23" i="2"/>
  <c r="E32" i="2" s="1"/>
  <c r="I23" i="2"/>
  <c r="I32" i="2" s="1"/>
  <c r="C23" i="2"/>
  <c r="C32" i="2" s="1"/>
  <c r="L23" i="2"/>
  <c r="L32" i="2" s="1"/>
  <c r="G23" i="2"/>
  <c r="G32" i="2" s="1"/>
  <c r="K23" i="2"/>
  <c r="K32" i="2" s="1"/>
  <c r="D23" i="2"/>
  <c r="D32" i="2" s="1"/>
  <c r="F23" i="2"/>
  <c r="F32" i="2" s="1"/>
  <c r="B23" i="2"/>
  <c r="B32" i="2" s="1"/>
  <c r="N22" i="6"/>
  <c r="N31" i="6" s="1"/>
  <c r="I22" i="6"/>
  <c r="I31" i="6" s="1"/>
  <c r="L22" i="6"/>
  <c r="L31" i="6" s="1"/>
  <c r="E22" i="6"/>
  <c r="E31" i="6" s="1"/>
  <c r="M22" i="6"/>
  <c r="M31" i="6" s="1"/>
  <c r="O22" i="6"/>
  <c r="O31" i="6" s="1"/>
  <c r="C22" i="6"/>
  <c r="C31" i="6" s="1"/>
  <c r="F22" i="6"/>
  <c r="F31" i="6" s="1"/>
  <c r="G22" i="6"/>
  <c r="G31" i="6" s="1"/>
  <c r="D22" i="6"/>
  <c r="D31" i="6" s="1"/>
  <c r="P22" i="6"/>
  <c r="P31" i="6" s="1"/>
  <c r="B22" i="6"/>
  <c r="B31" i="6" s="1"/>
  <c r="K22" i="6"/>
  <c r="K31" i="6" s="1"/>
  <c r="H22" i="6"/>
  <c r="H31" i="6" s="1"/>
  <c r="J22" i="6"/>
  <c r="J31" i="6" s="1"/>
  <c r="L23" i="7"/>
  <c r="L32" i="7" s="1"/>
  <c r="N23" i="7"/>
  <c r="N32" i="7" s="1"/>
  <c r="M23" i="7"/>
  <c r="M32" i="7" s="1"/>
  <c r="H23" i="7"/>
  <c r="H32" i="7" s="1"/>
  <c r="O23" i="7"/>
  <c r="O32" i="7" s="1"/>
  <c r="E23" i="7"/>
  <c r="E32" i="7" s="1"/>
  <c r="J23" i="7"/>
  <c r="J32" i="7" s="1"/>
  <c r="B23" i="7"/>
  <c r="B32" i="7" s="1"/>
  <c r="F23" i="7"/>
  <c r="F32" i="7" s="1"/>
  <c r="K23" i="7"/>
  <c r="K32" i="7" s="1"/>
  <c r="I23" i="7"/>
  <c r="I32" i="7" s="1"/>
  <c r="P23" i="7"/>
  <c r="P32" i="7" s="1"/>
  <c r="Q23" i="7"/>
  <c r="Q32" i="7" s="1"/>
  <c r="C23" i="7"/>
  <c r="C32" i="7" s="1"/>
  <c r="G23" i="7"/>
  <c r="G32" i="7" s="1"/>
  <c r="B20" i="9"/>
  <c r="B27" i="9" s="1"/>
  <c r="B14" i="9"/>
  <c r="B16" i="9" s="1"/>
  <c r="B19" i="9"/>
  <c r="B26" i="9" s="1"/>
  <c r="B18" i="9"/>
  <c r="I23" i="8"/>
  <c r="I32" i="8" s="1"/>
  <c r="E23" i="8"/>
  <c r="E32" i="8" s="1"/>
  <c r="C23" i="8"/>
  <c r="C32" i="8" s="1"/>
  <c r="F23" i="8"/>
  <c r="F32" i="8" s="1"/>
  <c r="G23" i="8"/>
  <c r="G32" i="8" s="1"/>
  <c r="H23" i="8"/>
  <c r="H32" i="8" s="1"/>
  <c r="D23" i="8"/>
  <c r="D32" i="8" s="1"/>
  <c r="J23" i="8"/>
  <c r="J32" i="8" s="1"/>
  <c r="B23" i="8"/>
  <c r="B32" i="8" s="1"/>
  <c r="B25" i="9" l="1"/>
  <c r="B29" i="9" s="1"/>
  <c r="B34" i="9" s="1"/>
  <c r="B39" i="9" s="1"/>
  <c r="B40" i="9" s="1"/>
  <c r="B22" i="9"/>
  <c r="H22" i="2" l="1"/>
  <c r="H31" i="2" s="1"/>
  <c r="F20" i="8" l="1"/>
  <c r="G20" i="8"/>
  <c r="E20" i="8"/>
  <c r="E29" i="8" l="1"/>
  <c r="G29" i="8"/>
  <c r="F29" i="8"/>
  <c r="H20" i="7" l="1"/>
  <c r="H29" i="7" l="1"/>
  <c r="H19" i="6" l="1"/>
  <c r="H28" i="6" l="1"/>
  <c r="G19" i="6"/>
  <c r="I19" i="6" l="1"/>
  <c r="G28" i="6"/>
  <c r="J19" i="6"/>
  <c r="J28" i="6" l="1"/>
  <c r="K19" i="6"/>
  <c r="I28" i="6"/>
  <c r="K28" i="6" l="1"/>
  <c r="G20" i="7" l="1"/>
  <c r="J20" i="7" l="1"/>
  <c r="L20" i="7"/>
  <c r="K20" i="7"/>
  <c r="M20" i="7"/>
  <c r="G29" i="7"/>
  <c r="F20" i="7" l="1"/>
  <c r="L29" i="7"/>
  <c r="K29" i="7"/>
  <c r="J29" i="7"/>
  <c r="M29" i="7"/>
  <c r="I20" i="7"/>
  <c r="P20" i="7"/>
  <c r="I29" i="7" l="1"/>
  <c r="P29" i="7"/>
  <c r="F29" i="7"/>
  <c r="H22" i="7" l="1"/>
  <c r="H31" i="7" s="1"/>
  <c r="I22" i="7"/>
  <c r="I31" i="7" s="1"/>
  <c r="I21" i="6"/>
  <c r="I30" i="6" s="1"/>
  <c r="G21" i="6"/>
  <c r="G30" i="6" s="1"/>
  <c r="F22" i="7"/>
  <c r="F31" i="7" s="1"/>
  <c r="J21" i="6"/>
  <c r="J30" i="6" s="1"/>
  <c r="H21" i="6"/>
  <c r="H30" i="6" s="1"/>
  <c r="E22" i="8"/>
  <c r="E31" i="8" s="1"/>
  <c r="F22" i="8"/>
  <c r="F31" i="8" s="1"/>
  <c r="G22" i="7"/>
  <c r="G31" i="7" s="1"/>
  <c r="G22" i="8"/>
  <c r="G31" i="8" s="1"/>
  <c r="K21" i="6"/>
  <c r="K30" i="6" s="1"/>
  <c r="M22" i="7" l="1"/>
  <c r="M31" i="7" s="1"/>
  <c r="J22" i="7"/>
  <c r="J31" i="7" s="1"/>
  <c r="D22" i="8"/>
  <c r="D31" i="8" s="1"/>
  <c r="B22" i="7"/>
  <c r="B31" i="7" s="1"/>
  <c r="C22" i="8"/>
  <c r="C31" i="8" s="1"/>
  <c r="E22" i="7"/>
  <c r="E31" i="7" s="1"/>
  <c r="K22" i="7"/>
  <c r="K31" i="7" s="1"/>
  <c r="I22" i="8"/>
  <c r="I31" i="8" s="1"/>
  <c r="L22" i="7"/>
  <c r="L31" i="7" s="1"/>
  <c r="B22" i="8"/>
  <c r="B31" i="8" s="1"/>
  <c r="P22" i="7"/>
  <c r="P31" i="7" s="1"/>
  <c r="C22" i="7"/>
  <c r="C31" i="7" s="1"/>
  <c r="H22" i="8" l="1"/>
  <c r="H31" i="8" s="1"/>
  <c r="M21" i="6"/>
  <c r="M30" i="6" s="1"/>
  <c r="O21" i="6"/>
  <c r="O30" i="6" s="1"/>
  <c r="N21" i="6"/>
  <c r="N30" i="6" s="1"/>
  <c r="C21" i="6"/>
  <c r="C30" i="6" s="1"/>
  <c r="D21" i="6"/>
  <c r="D30" i="6" s="1"/>
  <c r="E21" i="6"/>
  <c r="E30" i="6" s="1"/>
  <c r="O22" i="7"/>
  <c r="O31" i="7" s="1"/>
  <c r="F21" i="6"/>
  <c r="F30" i="6" s="1"/>
  <c r="N22" i="7"/>
  <c r="N31" i="7" s="1"/>
  <c r="Q22" i="7"/>
  <c r="Q31" i="7" s="1"/>
  <c r="B21" i="6"/>
  <c r="B30" i="6" s="1"/>
  <c r="J22" i="8"/>
  <c r="J31" i="8" s="1"/>
  <c r="F22" i="2" l="1"/>
  <c r="F31" i="2" s="1"/>
  <c r="J22" i="2"/>
  <c r="J31" i="2" s="1"/>
  <c r="C22" i="2"/>
  <c r="C31" i="2" s="1"/>
  <c r="G22" i="2"/>
  <c r="G31" i="2" s="1"/>
  <c r="P21" i="6"/>
  <c r="P30" i="6" s="1"/>
  <c r="L21" i="6"/>
  <c r="L30" i="6" s="1"/>
  <c r="I22" i="2"/>
  <c r="I31" i="2" s="1"/>
  <c r="K22" i="2" l="1"/>
  <c r="K31" i="2" s="1"/>
  <c r="D22" i="2"/>
  <c r="D31" i="2" s="1"/>
  <c r="B22" i="2"/>
  <c r="B31" i="2" s="1"/>
  <c r="E22" i="2" l="1"/>
  <c r="E31" i="2" s="1"/>
  <c r="L22" i="2" l="1"/>
  <c r="L31" i="2" s="1"/>
  <c r="B45" i="9" l="1"/>
  <c r="B47" i="9" s="1"/>
  <c r="D21" i="2" l="1"/>
  <c r="D30" i="2" s="1"/>
  <c r="I21" i="2"/>
  <c r="I30" i="2" s="1"/>
  <c r="H21" i="7"/>
  <c r="H13" i="7"/>
  <c r="H14" i="7"/>
  <c r="K20" i="6"/>
  <c r="K14" i="6"/>
  <c r="K13" i="6"/>
  <c r="F21" i="8"/>
  <c r="F14" i="8"/>
  <c r="F13" i="8"/>
  <c r="H20" i="6"/>
  <c r="H14" i="6"/>
  <c r="H13" i="6"/>
  <c r="F21" i="7"/>
  <c r="F14" i="7"/>
  <c r="F13" i="7"/>
  <c r="J20" i="6"/>
  <c r="J14" i="6"/>
  <c r="J13" i="6"/>
  <c r="C21" i="2"/>
  <c r="C30" i="2" s="1"/>
  <c r="H21" i="2"/>
  <c r="H30" i="2" s="1"/>
  <c r="G21" i="7"/>
  <c r="G13" i="7"/>
  <c r="G14" i="7"/>
  <c r="G20" i="6"/>
  <c r="G13" i="6"/>
  <c r="G14" i="6"/>
  <c r="I20" i="6"/>
  <c r="I14" i="6"/>
  <c r="I13" i="6"/>
  <c r="E21" i="8"/>
  <c r="E14" i="8"/>
  <c r="E13" i="8"/>
  <c r="G21" i="8"/>
  <c r="G14" i="8"/>
  <c r="G13" i="8"/>
  <c r="I21" i="7"/>
  <c r="I14" i="7"/>
  <c r="I13" i="7"/>
  <c r="B21" i="2"/>
  <c r="B30" i="2" s="1"/>
  <c r="J29" i="6" l="1"/>
  <c r="J25" i="6"/>
  <c r="J24" i="6"/>
  <c r="F30" i="7"/>
  <c r="F26" i="7"/>
  <c r="F25" i="7"/>
  <c r="H29" i="6"/>
  <c r="H25" i="6"/>
  <c r="H24" i="6"/>
  <c r="F30" i="8"/>
  <c r="F25" i="8"/>
  <c r="F26" i="8"/>
  <c r="K29" i="6"/>
  <c r="K24" i="6"/>
  <c r="K25" i="6"/>
  <c r="H30" i="7"/>
  <c r="H25" i="7"/>
  <c r="H26" i="7"/>
  <c r="H14" i="2"/>
  <c r="H13" i="2"/>
  <c r="H20" i="2"/>
  <c r="K20" i="2"/>
  <c r="F20" i="2"/>
  <c r="C19" i="6"/>
  <c r="K21" i="7"/>
  <c r="K14" i="7"/>
  <c r="K13" i="7"/>
  <c r="D19" i="6"/>
  <c r="B20" i="7"/>
  <c r="L21" i="7"/>
  <c r="L14" i="7"/>
  <c r="L13" i="7"/>
  <c r="E21" i="2"/>
  <c r="E30" i="2" s="1"/>
  <c r="E20" i="2"/>
  <c r="G20" i="2"/>
  <c r="I14" i="2"/>
  <c r="I13" i="2"/>
  <c r="I20" i="2"/>
  <c r="J21" i="2"/>
  <c r="J30" i="2" s="1"/>
  <c r="D14" i="2"/>
  <c r="D13" i="2"/>
  <c r="D20" i="2"/>
  <c r="I30" i="7"/>
  <c r="I26" i="7"/>
  <c r="I25" i="7"/>
  <c r="G30" i="8"/>
  <c r="G25" i="8"/>
  <c r="G26" i="8"/>
  <c r="E30" i="8"/>
  <c r="E25" i="8"/>
  <c r="E26" i="8"/>
  <c r="I29" i="6"/>
  <c r="I24" i="6"/>
  <c r="I25" i="6"/>
  <c r="G29" i="6"/>
  <c r="G25" i="6"/>
  <c r="G24" i="6"/>
  <c r="G30" i="7"/>
  <c r="G26" i="7"/>
  <c r="G25" i="7"/>
  <c r="C14" i="2"/>
  <c r="C13" i="2"/>
  <c r="C20" i="2"/>
  <c r="F21" i="2"/>
  <c r="F30" i="2" s="1"/>
  <c r="B14" i="2"/>
  <c r="B13" i="2"/>
  <c r="B20" i="2"/>
  <c r="G21" i="2"/>
  <c r="G30" i="2" s="1"/>
  <c r="J20" i="2"/>
  <c r="K21" i="2"/>
  <c r="K30" i="2" s="1"/>
  <c r="J21" i="7"/>
  <c r="J14" i="7"/>
  <c r="J13" i="7"/>
  <c r="P21" i="7"/>
  <c r="P14" i="7"/>
  <c r="P13" i="7"/>
  <c r="M21" i="7"/>
  <c r="M13" i="7"/>
  <c r="M14" i="7"/>
  <c r="B19" i="6"/>
  <c r="B20" i="8"/>
  <c r="J14" i="2" l="1"/>
  <c r="J13" i="2"/>
  <c r="G13" i="2"/>
  <c r="E14" i="2"/>
  <c r="M30" i="7"/>
  <c r="M25" i="7"/>
  <c r="M26" i="7"/>
  <c r="P30" i="7"/>
  <c r="P26" i="7"/>
  <c r="P25" i="7"/>
  <c r="J30" i="7"/>
  <c r="J25" i="7"/>
  <c r="J26" i="7"/>
  <c r="H20" i="8"/>
  <c r="E21" i="7"/>
  <c r="E30" i="7" s="1"/>
  <c r="E35" i="8"/>
  <c r="E34" i="8"/>
  <c r="I25" i="2"/>
  <c r="I29" i="2"/>
  <c r="I26" i="2"/>
  <c r="K26" i="2"/>
  <c r="K25" i="2"/>
  <c r="K29" i="2"/>
  <c r="C21" i="7"/>
  <c r="C30" i="7" s="1"/>
  <c r="H34" i="7"/>
  <c r="H35" i="7"/>
  <c r="F34" i="7"/>
  <c r="F35" i="7"/>
  <c r="N14" i="7"/>
  <c r="N20" i="7"/>
  <c r="D21" i="8"/>
  <c r="D30" i="8" s="1"/>
  <c r="B26" i="2"/>
  <c r="B25" i="2"/>
  <c r="B29" i="2"/>
  <c r="I33" i="6"/>
  <c r="I34" i="6"/>
  <c r="G14" i="2"/>
  <c r="L30" i="7"/>
  <c r="L25" i="7"/>
  <c r="L26" i="7"/>
  <c r="C28" i="6"/>
  <c r="F25" i="2"/>
  <c r="F29" i="2"/>
  <c r="F26" i="2"/>
  <c r="K13" i="2"/>
  <c r="M19" i="6"/>
  <c r="F20" i="6"/>
  <c r="F29" i="6" s="1"/>
  <c r="H33" i="6"/>
  <c r="H34" i="6"/>
  <c r="B29" i="8"/>
  <c r="B28" i="6"/>
  <c r="L19" i="6"/>
  <c r="C29" i="2"/>
  <c r="C26" i="2"/>
  <c r="C25" i="2"/>
  <c r="G34" i="6"/>
  <c r="G33" i="6"/>
  <c r="I34" i="7"/>
  <c r="I35" i="7"/>
  <c r="E25" i="2"/>
  <c r="E26" i="2"/>
  <c r="E29" i="2"/>
  <c r="F13" i="2"/>
  <c r="K14" i="2"/>
  <c r="F34" i="8"/>
  <c r="F35" i="8"/>
  <c r="J26" i="2"/>
  <c r="J25" i="2"/>
  <c r="J29" i="2"/>
  <c r="C21" i="8"/>
  <c r="C30" i="8" s="1"/>
  <c r="G34" i="7"/>
  <c r="G35" i="7"/>
  <c r="G34" i="8"/>
  <c r="G35" i="8"/>
  <c r="D29" i="2"/>
  <c r="D26" i="2"/>
  <c r="D25" i="2"/>
  <c r="G26" i="2"/>
  <c r="G29" i="2"/>
  <c r="G25" i="2"/>
  <c r="E13" i="2"/>
  <c r="B29" i="7"/>
  <c r="D28" i="6"/>
  <c r="K30" i="7"/>
  <c r="K26" i="7"/>
  <c r="K25" i="7"/>
  <c r="F14" i="2"/>
  <c r="N19" i="6"/>
  <c r="H25" i="2"/>
  <c r="H29" i="2"/>
  <c r="H26" i="2"/>
  <c r="K34" i="6"/>
  <c r="K33" i="6"/>
  <c r="J33" i="6"/>
  <c r="J34" i="6"/>
  <c r="N13" i="7" l="1"/>
  <c r="K40" i="6"/>
  <c r="F41" i="7"/>
  <c r="G41" i="8"/>
  <c r="F41" i="8"/>
  <c r="G41" i="7"/>
  <c r="I41" i="7"/>
  <c r="G40" i="6"/>
  <c r="H40" i="6"/>
  <c r="H41" i="7"/>
  <c r="G34" i="2"/>
  <c r="G35" i="2"/>
  <c r="D35" i="2"/>
  <c r="D34" i="2"/>
  <c r="J34" i="2"/>
  <c r="J35" i="2"/>
  <c r="O20" i="6"/>
  <c r="O29" i="6" s="1"/>
  <c r="P20" i="6"/>
  <c r="P29" i="6" s="1"/>
  <c r="E35" i="2"/>
  <c r="E34" i="2"/>
  <c r="B21" i="7"/>
  <c r="B14" i="7"/>
  <c r="B13" i="7"/>
  <c r="F35" i="2"/>
  <c r="F34" i="2"/>
  <c r="I40" i="6"/>
  <c r="N29" i="7"/>
  <c r="I34" i="2"/>
  <c r="I35" i="2"/>
  <c r="H29" i="8"/>
  <c r="K34" i="7"/>
  <c r="K35" i="7"/>
  <c r="L21" i="2"/>
  <c r="L30" i="2" s="1"/>
  <c r="Q21" i="7"/>
  <c r="Q30" i="7" s="1"/>
  <c r="M35" i="7"/>
  <c r="M34" i="7"/>
  <c r="B21" i="8"/>
  <c r="B13" i="8"/>
  <c r="B14" i="8"/>
  <c r="B20" i="6"/>
  <c r="B13" i="6"/>
  <c r="B14" i="6"/>
  <c r="J21" i="8"/>
  <c r="J30" i="8" s="1"/>
  <c r="I21" i="8"/>
  <c r="I30" i="8" s="1"/>
  <c r="M28" i="6"/>
  <c r="E20" i="6"/>
  <c r="E29" i="6" s="1"/>
  <c r="E41" i="8"/>
  <c r="P34" i="7"/>
  <c r="P35" i="7"/>
  <c r="J40" i="6"/>
  <c r="H35" i="2"/>
  <c r="H34" i="2"/>
  <c r="N28" i="6"/>
  <c r="O21" i="7"/>
  <c r="O30" i="7" s="1"/>
  <c r="L14" i="2"/>
  <c r="L13" i="2"/>
  <c r="L20" i="2"/>
  <c r="D20" i="6"/>
  <c r="D14" i="6"/>
  <c r="D13" i="6"/>
  <c r="C35" i="2"/>
  <c r="C34" i="2"/>
  <c r="L28" i="6"/>
  <c r="L34" i="7"/>
  <c r="L35" i="7"/>
  <c r="B34" i="2"/>
  <c r="B35" i="2"/>
  <c r="K34" i="2"/>
  <c r="K35" i="2"/>
  <c r="J34" i="7"/>
  <c r="J35" i="7"/>
  <c r="C20" i="6"/>
  <c r="C14" i="6"/>
  <c r="C13" i="6"/>
  <c r="N21" i="7"/>
  <c r="N30" i="7" s="1"/>
  <c r="D41" i="2" l="1"/>
  <c r="K41" i="2"/>
  <c r="B41" i="2"/>
  <c r="N25" i="7"/>
  <c r="M41" i="7"/>
  <c r="J41" i="7"/>
  <c r="H21" i="8"/>
  <c r="H14" i="8"/>
  <c r="H13" i="8"/>
  <c r="L41" i="7"/>
  <c r="C41" i="2"/>
  <c r="H41" i="2"/>
  <c r="K41" i="7"/>
  <c r="L20" i="6"/>
  <c r="L14" i="6"/>
  <c r="L13" i="6"/>
  <c r="L29" i="2"/>
  <c r="L25" i="2"/>
  <c r="L26" i="2"/>
  <c r="B30" i="8"/>
  <c r="B26" i="8"/>
  <c r="B25" i="8"/>
  <c r="I41" i="2"/>
  <c r="N34" i="7"/>
  <c r="N35" i="7"/>
  <c r="F41" i="2"/>
  <c r="E41" i="2"/>
  <c r="J41" i="2"/>
  <c r="N20" i="6"/>
  <c r="N14" i="6"/>
  <c r="N13" i="6"/>
  <c r="C29" i="6"/>
  <c r="C24" i="6"/>
  <c r="C25" i="6"/>
  <c r="D29" i="6"/>
  <c r="D25" i="6"/>
  <c r="D24" i="6"/>
  <c r="P41" i="7"/>
  <c r="B29" i="6"/>
  <c r="B25" i="6"/>
  <c r="B24" i="6"/>
  <c r="N26" i="7"/>
  <c r="B30" i="7"/>
  <c r="B25" i="7"/>
  <c r="B26" i="7"/>
  <c r="G41" i="2"/>
  <c r="M20" i="6"/>
  <c r="M13" i="6"/>
  <c r="M14" i="6"/>
  <c r="C33" i="6" l="1"/>
  <c r="C34" i="6"/>
  <c r="N29" i="6"/>
  <c r="N25" i="6"/>
  <c r="N24" i="6"/>
  <c r="L35" i="2"/>
  <c r="L34" i="2"/>
  <c r="E14" i="6"/>
  <c r="E13" i="6"/>
  <c r="E19" i="6"/>
  <c r="B35" i="7"/>
  <c r="B34" i="7"/>
  <c r="B33" i="6"/>
  <c r="B34" i="6"/>
  <c r="N41" i="7"/>
  <c r="B35" i="8"/>
  <c r="B34" i="8"/>
  <c r="D14" i="8"/>
  <c r="D13" i="8"/>
  <c r="D20" i="8"/>
  <c r="C14" i="7"/>
  <c r="C13" i="7"/>
  <c r="C20" i="7"/>
  <c r="L29" i="6"/>
  <c r="L25" i="6"/>
  <c r="L24" i="6"/>
  <c r="H30" i="8"/>
  <c r="H25" i="8"/>
  <c r="H26" i="8"/>
  <c r="D33" i="6"/>
  <c r="D34" i="6"/>
  <c r="C14" i="8"/>
  <c r="C13" i="8"/>
  <c r="C20" i="8"/>
  <c r="M29" i="6"/>
  <c r="M25" i="6"/>
  <c r="M24" i="6"/>
  <c r="F14" i="6"/>
  <c r="F13" i="6"/>
  <c r="F19" i="6"/>
  <c r="O14" i="6"/>
  <c r="O13" i="6"/>
  <c r="O19" i="6"/>
  <c r="E14" i="7"/>
  <c r="E13" i="7"/>
  <c r="E20" i="7"/>
  <c r="F46" i="2"/>
  <c r="F48" i="2" s="1"/>
  <c r="J46" i="2"/>
  <c r="J48" i="2" s="1"/>
  <c r="D46" i="2"/>
  <c r="D48" i="2" s="1"/>
  <c r="C46" i="2"/>
  <c r="C48" i="2" s="1"/>
  <c r="K46" i="2"/>
  <c r="K48" i="2" s="1"/>
  <c r="E46" i="2"/>
  <c r="E48" i="2" s="1"/>
  <c r="I46" i="2"/>
  <c r="I48" i="2" s="1"/>
  <c r="C40" i="6" l="1"/>
  <c r="B41" i="7"/>
  <c r="B41" i="8"/>
  <c r="E25" i="7"/>
  <c r="E26" i="7"/>
  <c r="E29" i="7"/>
  <c r="O25" i="6"/>
  <c r="O28" i="6"/>
  <c r="O24" i="6"/>
  <c r="F24" i="6"/>
  <c r="F28" i="6"/>
  <c r="F25" i="6"/>
  <c r="E25" i="6"/>
  <c r="E28" i="6"/>
  <c r="E24" i="6"/>
  <c r="D40" i="6"/>
  <c r="B40" i="6"/>
  <c r="J14" i="8"/>
  <c r="J13" i="8"/>
  <c r="J20" i="8"/>
  <c r="I14" i="8"/>
  <c r="I13" i="8"/>
  <c r="I20" i="8"/>
  <c r="C26" i="8"/>
  <c r="C25" i="8"/>
  <c r="C29" i="8"/>
  <c r="H35" i="8"/>
  <c r="H34" i="8"/>
  <c r="L34" i="6"/>
  <c r="L33" i="6"/>
  <c r="P14" i="6"/>
  <c r="P13" i="6"/>
  <c r="P19" i="6"/>
  <c r="N33" i="6"/>
  <c r="N34" i="6"/>
  <c r="Q14" i="7"/>
  <c r="Q13" i="7"/>
  <c r="Q20" i="7"/>
  <c r="M34" i="6"/>
  <c r="M33" i="6"/>
  <c r="C25" i="7"/>
  <c r="C29" i="7"/>
  <c r="C26" i="7"/>
  <c r="D26" i="8"/>
  <c r="D29" i="8"/>
  <c r="D25" i="8"/>
  <c r="O14" i="7"/>
  <c r="O13" i="7"/>
  <c r="O20" i="7"/>
  <c r="L41" i="2"/>
  <c r="B46" i="2"/>
  <c r="B48" i="2" s="1"/>
  <c r="H46" i="2"/>
  <c r="H48" i="2" s="1"/>
  <c r="G46" i="2"/>
  <c r="G48" i="2" s="1"/>
  <c r="L40" i="6" l="1"/>
  <c r="H41" i="8"/>
  <c r="D34" i="8"/>
  <c r="D35" i="8"/>
  <c r="P24" i="6"/>
  <c r="P28" i="6"/>
  <c r="P25" i="6"/>
  <c r="O26" i="7"/>
  <c r="O29" i="7"/>
  <c r="O25" i="7"/>
  <c r="Q26" i="7"/>
  <c r="Q25" i="7"/>
  <c r="Q29" i="7"/>
  <c r="I26" i="8"/>
  <c r="I25" i="8"/>
  <c r="I29" i="8"/>
  <c r="J25" i="8"/>
  <c r="J29" i="8"/>
  <c r="J26" i="8"/>
  <c r="O33" i="6"/>
  <c r="O34" i="6"/>
  <c r="M40" i="6"/>
  <c r="N40" i="6"/>
  <c r="C35" i="8"/>
  <c r="C34" i="8"/>
  <c r="F34" i="6"/>
  <c r="F33" i="6"/>
  <c r="C34" i="7"/>
  <c r="C35" i="7"/>
  <c r="E33" i="6"/>
  <c r="E34" i="6"/>
  <c r="E34" i="7"/>
  <c r="E35" i="7"/>
  <c r="F40" i="6" l="1"/>
  <c r="C41" i="8"/>
  <c r="E41" i="7"/>
  <c r="E40" i="6"/>
  <c r="C41" i="7"/>
  <c r="O40" i="6"/>
  <c r="D41" i="8"/>
  <c r="L46" i="7"/>
  <c r="L48" i="7" s="1"/>
  <c r="I46" i="7"/>
  <c r="I48" i="7" s="1"/>
  <c r="M46" i="7"/>
  <c r="M48" i="7" s="1"/>
  <c r="F46" i="7"/>
  <c r="F48" i="7" s="1"/>
  <c r="G46" i="8"/>
  <c r="G48" i="8" s="1"/>
  <c r="G46" i="7"/>
  <c r="G48" i="7" s="1"/>
  <c r="K45" i="6"/>
  <c r="K47" i="6" s="1"/>
  <c r="J46" i="7"/>
  <c r="J48" i="7" s="1"/>
  <c r="Q35" i="7"/>
  <c r="Q34" i="7"/>
  <c r="E46" i="7"/>
  <c r="J35" i="8"/>
  <c r="J34" i="8"/>
  <c r="I35" i="8"/>
  <c r="I34" i="8"/>
  <c r="O35" i="7"/>
  <c r="O34" i="7"/>
  <c r="P34" i="6"/>
  <c r="P33" i="6"/>
  <c r="H46" i="7"/>
  <c r="H48" i="7" s="1"/>
  <c r="F46" i="8"/>
  <c r="F48" i="8" s="1"/>
  <c r="G45" i="6"/>
  <c r="G47" i="6" s="1"/>
  <c r="H45" i="6"/>
  <c r="H47" i="6" s="1"/>
  <c r="J45" i="6"/>
  <c r="J47" i="6" s="1"/>
  <c r="E46" i="8"/>
  <c r="E48" i="8" s="1"/>
  <c r="E48" i="7" l="1"/>
  <c r="J41" i="8"/>
  <c r="C46" i="8"/>
  <c r="C48" i="8" s="1"/>
  <c r="F45" i="6"/>
  <c r="F47" i="6" s="1"/>
  <c r="B45" i="6"/>
  <c r="B47" i="6" s="1"/>
  <c r="D45" i="6"/>
  <c r="D47" i="6" s="1"/>
  <c r="B46" i="7"/>
  <c r="B48" i="7" s="1"/>
  <c r="D46" i="8"/>
  <c r="D48" i="8" s="1"/>
  <c r="Q41" i="7"/>
  <c r="I45" i="6"/>
  <c r="I47" i="6" s="1"/>
  <c r="P40" i="6"/>
  <c r="O41" i="7"/>
  <c r="I41" i="8"/>
  <c r="K46" i="7"/>
  <c r="K48" i="7" s="1"/>
  <c r="C45" i="6"/>
  <c r="C47" i="6" s="1"/>
  <c r="C46" i="7"/>
  <c r="C48" i="7" s="1"/>
  <c r="E45" i="6"/>
  <c r="E47" i="6" s="1"/>
  <c r="B46" i="8"/>
  <c r="B48" i="8" s="1"/>
  <c r="O45" i="6" l="1"/>
  <c r="O47" i="6" s="1"/>
  <c r="N46" i="7"/>
  <c r="N48" i="7" s="1"/>
  <c r="O46" i="7"/>
  <c r="O48" i="7" s="1"/>
  <c r="J46" i="8"/>
  <c r="J48" i="8" s="1"/>
  <c r="P45" i="6"/>
  <c r="P47" i="6" s="1"/>
  <c r="N45" i="6"/>
  <c r="N47" i="6" s="1"/>
  <c r="L45" i="6"/>
  <c r="L47" i="6" s="1"/>
  <c r="Q46" i="7"/>
  <c r="Q48" i="7" s="1"/>
  <c r="I46" i="8"/>
  <c r="I48" i="8" s="1"/>
  <c r="L46" i="2"/>
  <c r="L48" i="2" s="1"/>
  <c r="H46" i="8"/>
  <c r="H48" i="8" s="1"/>
  <c r="P46" i="7"/>
  <c r="P48" i="7" s="1"/>
  <c r="M45" i="6"/>
  <c r="M47" i="6" s="1"/>
</calcChain>
</file>

<file path=xl/sharedStrings.xml><?xml version="1.0" encoding="utf-8"?>
<sst xmlns="http://schemas.openxmlformats.org/spreadsheetml/2006/main" count="480" uniqueCount="143">
  <si>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</si>
  <si>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</si>
  <si>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</si>
  <si>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</si>
  <si>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</si>
  <si>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</si>
  <si>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</si>
  <si>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</si>
  <si>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</si>
  <si>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</si>
  <si>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</si>
  <si>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</si>
  <si>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</si>
  <si>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</si>
  <si>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</si>
  <si>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</si>
  <si>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</si>
  <si>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</si>
  <si>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</si>
  <si>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</si>
  <si>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</si>
  <si>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</si>
  <si>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</si>
  <si>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</si>
  <si>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</si>
  <si>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</si>
  <si>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</si>
  <si>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</si>
  <si>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</si>
  <si>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</si>
  <si>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</si>
  <si>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</si>
  <si>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</si>
  <si>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</si>
  <si>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</si>
  <si>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</si>
  <si>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</si>
  <si>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</si>
  <si>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</si>
  <si>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</si>
  <si>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</si>
  <si>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</si>
  <si>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</si>
  <si>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</si>
  <si>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</si>
  <si>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</si>
  <si>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</si>
  <si>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</si>
  <si>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</si>
  <si>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</si>
  <si>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</si>
  <si>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</si>
  <si>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</si>
  <si>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</si>
  <si>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</si>
  <si>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</si>
  <si>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</si>
  <si>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</si>
  <si>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</si>
  <si>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</si>
  <si>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</si>
  <si>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</si>
  <si>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</si>
  <si>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</si>
  <si>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</si>
  <si>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</si>
  <si>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</si>
  <si>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</si>
  <si>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</si>
  <si>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</si>
  <si>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</si>
  <si>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</si>
  <si>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</si>
  <si>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</si>
  <si>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</si>
  <si>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</si>
  <si>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</si>
  <si>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</si>
  <si>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</si>
  <si>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</si>
  <si>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</si>
  <si>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</si>
  <si>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</si>
  <si>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</si>
  <si>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</si>
  <si>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</si>
  <si>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</si>
  <si>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</si>
  <si>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</si>
  <si>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</si>
  <si>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</si>
  <si>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</si>
  <si>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</si>
  <si>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</si>
  <si>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</si>
  <si>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</si>
  <si>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</si>
  <si>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</si>
  <si>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</si>
  <si>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</si>
  <si>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</si>
  <si>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</si>
  <si>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</si>
  <si>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</si>
  <si>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</si>
  <si>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 xml:space="preserve">   Forecast 2020-2021 Change</t>
  </si>
  <si>
    <t xml:space="preserve">   Forecast 2021-2022 Change</t>
  </si>
  <si>
    <t xml:space="preserve">   Forecast 2022-2023 Change</t>
  </si>
  <si>
    <t>Note: Forecasted number of customers consistent with the customer forecast in the 2019 GRC Phase 1 (A.17-10-007) Direct Testimony of Kenneth E. Schiermeyer, Exhibit SDG&amp;E-38.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</si>
  <si>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</si>
  <si>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</si>
  <si>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</si>
  <si>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</si>
  <si>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</si>
  <si>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</si>
  <si>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 xml:space="preserve">  Average of 2020-2023 Change</t>
  </si>
  <si>
    <t>TOU-A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</si>
  <si>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</si>
  <si>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</si>
  <si>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</si>
  <si>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</si>
  <si>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</si>
  <si>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</si>
  <si>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</si>
  <si>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</si>
  <si>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2020 Service Voltage Percentages</t>
  </si>
  <si>
    <t>Average 2016 Number of Lamps</t>
  </si>
  <si>
    <t>Average 2016 Number of Customers</t>
  </si>
  <si>
    <t xml:space="preserve">    Transformers (368.1) at 123.76%</t>
  </si>
  <si>
    <t xml:space="preserve">    Services (369.2) at 123.27%</t>
  </si>
  <si>
    <t xml:space="preserve">          Workpaper).xlsx"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</si>
  <si>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</t>
  </si>
  <si>
    <t>Note: TSM (Rows 8-10), O&amp;M Expenses (Row 43), Miscellaneous Revenue Offset (Row 44), and Customer Account/Services (Row 45) costs from the "2019 GRC P2 Marg Dist Cust Costs (Chapter 5 Workpaper".xlsx" file.</t>
  </si>
  <si>
    <t xml:space="preserve">       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</si>
  <si>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Workpaper).xlsx" file.  The Replacement Meters (w/o meter labor costs) (Row 11)</t>
  </si>
  <si>
    <t xml:space="preserve">         from the "2019 GRC P2 Marg Dist Cust Costs (Chapter 5 Workpaper Replacement Meter).xlsx" file. </t>
  </si>
  <si>
    <t xml:space="preserve">         and Customer Account/Services (Row 44) cost from the "2019 GRC P2 Marg Dist Cust Costs (Chapter 5 Workpaper).xlsx" file.</t>
  </si>
  <si>
    <t>(1) Load Factors from the "2019 GRC P2 Marginal Distribution Customer Costs (Chapter 5 Workpaper).xlsx" file.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</si>
  <si>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</si>
  <si>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</si>
  <si>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</si>
  <si>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</si>
  <si>
    <t xml:space="preserve">   (1.50% of 2020 BOY)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</si>
</sst>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0.0%"/>
    <numFmt numFmtId="171" formatCode="0.000%"/>
    <numFmt numFmtId="172" formatCode="0.0000%"/>
    <numFmt numFmtId="173" formatCode="0.000000%"/>
    <numFmt numFmtId="174" formatCode="0.0000000%"/>
    <numFmt numFmtId="175" formatCode="#,##0.000_);\(#,##0.000\)"/>
    <numFmt numFmtId="176" formatCode="&quot;$&quot;#,##0"/>
    <numFmt numFmtId="177" formatCode="&quot;$&quot;#,##0.00"/>
    <numFmt numFmtId="178" formatCode="#,##0.0000_);\(#,##0.0000\)"/>
    <numFmt numFmtId="179" formatCode="#,##0.00000_);\(#,##0.00000\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3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7" fontId="4" fillId="0" borderId="0" xfId="1" applyNumberFormat="1" applyFont="1" applyBorder="1" applyAlignment="1"/>
    <xf numFmtId="3" fontId="1" fillId="0" borderId="0" xfId="1" applyNumberFormat="1"/>
    <xf numFmtId="0" fontId="7" fillId="0" borderId="0" xfId="1" applyFont="1" applyAlignment="1">
      <alignment horizontal="center"/>
    </xf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0" fontId="1" fillId="0" borderId="0" xfId="1" applyFon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37" fontId="4" fillId="0" borderId="0" xfId="2" applyNumberFormat="1" applyFont="1" applyFill="1" applyBorder="1" applyAlignment="1">
      <alignment horizontal="right"/>
    </xf>
    <xf numFmtId="9" fontId="3" fillId="0" borderId="8" xfId="7" applyFont="1" applyFill="1" applyBorder="1" applyAlignment="1">
      <alignment horizontal="right"/>
    </xf>
    <xf numFmtId="9" fontId="3" fillId="0" borderId="0" xfId="7" applyFont="1" applyFill="1" applyBorder="1" applyAlignment="1">
      <alignment horizontal="right"/>
    </xf>
    <xf numFmtId="0" fontId="3" fillId="0" borderId="8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9" fontId="3" fillId="0" borderId="8" xfId="1" applyNumberFormat="1" applyFont="1" applyBorder="1"/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37" fontId="3" fillId="0" borderId="0" xfId="2" applyNumberFormat="1" applyFont="1" applyFill="1" applyBorder="1" applyAlignment="1">
      <alignment horizontal="center"/>
    </xf>
    <xf numFmtId="37" fontId="3" fillId="0" borderId="8" xfId="2" applyNumberFormat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37" fontId="11" fillId="0" borderId="0" xfId="2" applyNumberFormat="1" applyFont="1" applyBorder="1" applyAlignment="1"/>
    <xf numFmtId="37" fontId="11" fillId="0" borderId="0" xfId="1" applyNumberFormat="1" applyFont="1" applyBorder="1" applyAlignment="1"/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9" fontId="11" fillId="0" borderId="0" xfId="7" applyFont="1" applyFill="1" applyBorder="1" applyAlignment="1">
      <alignment horizontal="right"/>
    </xf>
    <xf numFmtId="9" fontId="11" fillId="0" borderId="8" xfId="7" applyFont="1" applyFill="1" applyBorder="1" applyAlignment="1">
      <alignment horizontal="right"/>
    </xf>
    <xf numFmtId="0" fontId="11" fillId="0" borderId="8" xfId="1" applyFont="1" applyFill="1" applyBorder="1" applyAlignment="1">
      <alignment horizontal="center"/>
    </xf>
    <xf numFmtId="170" fontId="3" fillId="0" borderId="0" xfId="7" applyNumberFormat="1" applyFont="1" applyFill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9" fontId="11" fillId="0" borderId="7" xfId="7" applyFont="1" applyFill="1" applyBorder="1" applyAlignment="1">
      <alignment horizontal="right"/>
    </xf>
    <xf numFmtId="9" fontId="3" fillId="0" borderId="7" xfId="1" applyNumberFormat="1" applyFont="1" applyFill="1" applyBorder="1" applyAlignment="1">
      <alignment horizontal="right"/>
    </xf>
    <xf numFmtId="9" fontId="11" fillId="0" borderId="7" xfId="1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horizontal="right"/>
    </xf>
    <xf numFmtId="172" fontId="11" fillId="0" borderId="7" xfId="7" applyNumberFormat="1" applyFont="1" applyFill="1" applyBorder="1" applyAlignment="1">
      <alignment horizontal="right"/>
    </xf>
    <xf numFmtId="173" fontId="11" fillId="0" borderId="7" xfId="1" applyNumberFormat="1" applyFont="1" applyFill="1" applyBorder="1" applyAlignment="1">
      <alignment horizontal="right"/>
    </xf>
    <xf numFmtId="173" fontId="11" fillId="0" borderId="0" xfId="1" applyNumberFormat="1" applyFont="1" applyFill="1" applyBorder="1" applyAlignment="1">
      <alignment horizontal="right"/>
    </xf>
    <xf numFmtId="173" fontId="3" fillId="0" borderId="8" xfId="7" applyNumberFormat="1" applyFont="1" applyFill="1" applyBorder="1" applyAlignment="1">
      <alignment horizontal="right"/>
    </xf>
    <xf numFmtId="170" fontId="11" fillId="0" borderId="0" xfId="7" applyNumberFormat="1" applyFont="1" applyFill="1" applyBorder="1" applyAlignment="1">
      <alignment horizontal="right"/>
    </xf>
    <xf numFmtId="37" fontId="11" fillId="0" borderId="8" xfId="2" applyNumberFormat="1" applyFont="1" applyBorder="1" applyAlignment="1"/>
    <xf numFmtId="10" fontId="3" fillId="0" borderId="8" xfId="7" applyNumberFormat="1" applyFont="1" applyFill="1" applyBorder="1" applyAlignment="1">
      <alignment horizontal="right"/>
    </xf>
    <xf numFmtId="170" fontId="3" fillId="0" borderId="8" xfId="1" applyNumberFormat="1" applyFont="1" applyFill="1" applyBorder="1" applyAlignment="1">
      <alignment horizontal="right"/>
    </xf>
    <xf numFmtId="171" fontId="3" fillId="0" borderId="8" xfId="1" applyNumberFormat="1" applyFont="1" applyFill="1" applyBorder="1" applyAlignment="1">
      <alignment horizontal="right"/>
    </xf>
    <xf numFmtId="172" fontId="3" fillId="0" borderId="8" xfId="1" applyNumberFormat="1" applyFont="1" applyFill="1" applyBorder="1" applyAlignment="1">
      <alignment horizontal="right"/>
    </xf>
    <xf numFmtId="171" fontId="1" fillId="0" borderId="0" xfId="1" applyNumberFormat="1"/>
    <xf numFmtId="172" fontId="1" fillId="0" borderId="0" xfId="1" applyNumberForma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170" fontId="3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left"/>
    </xf>
    <xf numFmtId="170" fontId="11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right"/>
    </xf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43" fontId="3" fillId="0" borderId="0" xfId="8" applyFont="1" applyBorder="1" applyAlignment="1">
      <alignment horizontal="right"/>
    </xf>
    <xf numFmtId="10" fontId="3" fillId="0" borderId="0" xfId="7" applyNumberFormat="1" applyFont="1" applyFill="1" applyBorder="1" applyAlignment="1">
      <alignment horizontal="right"/>
    </xf>
    <xf numFmtId="10" fontId="3" fillId="0" borderId="8" xfId="1" applyNumberFormat="1" applyFont="1" applyBorder="1"/>
    <xf numFmtId="10" fontId="11" fillId="0" borderId="0" xfId="7" applyNumberFormat="1" applyFont="1" applyFill="1" applyBorder="1" applyAlignment="1">
      <alignment horizontal="right"/>
    </xf>
    <xf numFmtId="171" fontId="3" fillId="0" borderId="0" xfId="7" applyNumberFormat="1" applyFont="1" applyBorder="1" applyAlignment="1">
      <alignment horizontal="right"/>
    </xf>
    <xf numFmtId="0" fontId="3" fillId="2" borderId="1" xfId="1" applyFont="1" applyFill="1" applyBorder="1" applyAlignment="1">
      <alignment horizontal="center"/>
    </xf>
    <xf numFmtId="171" fontId="11" fillId="0" borderId="7" xfId="7" applyNumberFormat="1" applyFont="1" applyFill="1" applyBorder="1" applyAlignment="1">
      <alignment horizontal="right"/>
    </xf>
    <xf numFmtId="165" fontId="11" fillId="0" borderId="0" xfId="2" applyNumberFormat="1" applyFont="1" applyBorder="1" applyAlignment="1">
      <alignment horizontal="right"/>
    </xf>
    <xf numFmtId="39" fontId="11" fillId="0" borderId="0" xfId="2" applyNumberFormat="1" applyFont="1" applyBorder="1" applyAlignment="1">
      <alignment horizontal="right"/>
    </xf>
    <xf numFmtId="39" fontId="3" fillId="0" borderId="0" xfId="1" applyNumberFormat="1" applyFont="1" applyBorder="1"/>
    <xf numFmtId="39" fontId="3" fillId="0" borderId="8" xfId="1" applyNumberFormat="1" applyFont="1" applyBorder="1"/>
    <xf numFmtId="37" fontId="3" fillId="0" borderId="0" xfId="1" quotePrefix="1" applyNumberFormat="1" applyFont="1" applyBorder="1" applyAlignment="1">
      <alignment horizontal="left"/>
    </xf>
    <xf numFmtId="43" fontId="11" fillId="0" borderId="0" xfId="8" applyFont="1" applyBorder="1" applyAlignment="1">
      <alignment horizontal="right"/>
    </xf>
    <xf numFmtId="43" fontId="11" fillId="0" borderId="0" xfId="8" applyFont="1" applyBorder="1" applyAlignment="1"/>
    <xf numFmtId="43" fontId="4" fillId="0" borderId="0" xfId="8" applyFont="1" applyBorder="1" applyAlignment="1"/>
    <xf numFmtId="43" fontId="3" fillId="0" borderId="8" xfId="8" applyFont="1" applyBorder="1" applyAlignment="1"/>
    <xf numFmtId="43" fontId="3" fillId="0" borderId="8" xfId="8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9" fontId="3" fillId="0" borderId="7" xfId="7" applyFont="1" applyFill="1" applyBorder="1" applyAlignment="1">
      <alignment horizontal="right"/>
    </xf>
    <xf numFmtId="174" fontId="3" fillId="0" borderId="7" xfId="7" applyNumberFormat="1" applyFont="1" applyFill="1" applyBorder="1" applyAlignment="1">
      <alignment horizontal="right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7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7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6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1" fontId="1" fillId="0" borderId="0" xfId="1" applyNumberFormat="1"/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171" fontId="3" fillId="0" borderId="0" xfId="1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center"/>
    </xf>
    <xf numFmtId="172" fontId="3" fillId="0" borderId="0" xfId="1" applyNumberFormat="1" applyFont="1" applyFill="1" applyBorder="1" applyAlignment="1">
      <alignment horizontal="right"/>
    </xf>
    <xf numFmtId="43" fontId="3" fillId="0" borderId="0" xfId="8" applyFont="1" applyFill="1" applyBorder="1" applyAlignment="1">
      <alignment horizontal="center"/>
    </xf>
    <xf numFmtId="17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39" fontId="3" fillId="0" borderId="0" xfId="1" applyNumberFormat="1" applyFont="1" applyBorder="1" applyAlignment="1">
      <alignment horizontal="right"/>
    </xf>
    <xf numFmtId="175" fontId="3" fillId="0" borderId="7" xfId="2" applyNumberFormat="1" applyFont="1" applyFill="1" applyBorder="1" applyAlignment="1">
      <alignment horizontal="right"/>
    </xf>
    <xf numFmtId="179" fontId="3" fillId="0" borderId="7" xfId="2" applyNumberFormat="1" applyFont="1" applyFill="1" applyBorder="1" applyAlignment="1">
      <alignment horizontal="right"/>
    </xf>
    <xf numFmtId="178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8" xfId="8" applyFont="1" applyBorder="1" applyAlignment="1">
      <alignment horizontal="right"/>
    </xf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9" fontId="3" fillId="0" borderId="7" xfId="1" applyNumberFormat="1" applyFont="1" applyFill="1" applyBorder="1" applyAlignment="1">
      <alignment horizontal="center"/>
    </xf>
    <xf numFmtId="9" fontId="3" fillId="0" borderId="0" xfId="1" applyNumberFormat="1" applyFont="1" applyFill="1" applyBorder="1" applyAlignment="1">
      <alignment horizontal="center"/>
    </xf>
    <xf numFmtId="172" fontId="3" fillId="0" borderId="7" xfId="1" applyNumberFormat="1" applyFont="1" applyFill="1" applyBorder="1" applyAlignment="1">
      <alignment horizontal="center"/>
    </xf>
    <xf numFmtId="170" fontId="11" fillId="0" borderId="0" xfId="1" applyNumberFormat="1" applyFont="1" applyFill="1" applyBorder="1" applyAlignment="1">
      <alignment horizontal="right"/>
    </xf>
    <xf numFmtId="9" fontId="11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0" fontId="3" fillId="0" borderId="0" xfId="7" applyNumberFormat="1" applyFont="1" applyBorder="1" applyAlignment="1">
      <alignment horizontal="right"/>
    </xf>
    <xf numFmtId="170" fontId="1" fillId="0" borderId="0" xfId="7" applyNumberFormat="1" applyFont="1"/>
    <xf numFmtId="37" fontId="3" fillId="0" borderId="6" xfId="2" applyNumberFormat="1" applyFont="1" applyBorder="1" applyAlignment="1">
      <alignment horizontal="center"/>
    </xf>
    <xf numFmtId="43" fontId="6" fillId="0" borderId="0" xfId="5" applyNumberFormat="1" applyBorder="1"/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8-Customer-Summar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GRCP2-Determinants-T-ReqID19-2-System-N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Financial%20Assumptions%20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hase%202%20-%20Load%20Factor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Replacement%20Meters%20(Non-School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h_5_WP%232_Marg%20Dist%20Cust%20Costs%20for%20Non%20School%20Classes%20Revised%20(link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GE-Cust-Forecast"/>
      <sheetName val="SDGE-Cust-Forecast A"/>
      <sheetName val="SDGE-CustMonth-Forecast S"/>
      <sheetName val="SDGE-CustMonth-Forecast A"/>
    </sheetNames>
    <sheetDataSet>
      <sheetData sheetId="0">
        <row r="11">
          <cell r="GC11">
            <v>988773</v>
          </cell>
          <cell r="GO11">
            <v>988652</v>
          </cell>
          <cell r="HA11">
            <v>986851</v>
          </cell>
          <cell r="HM11">
            <v>983419</v>
          </cell>
        </row>
        <row r="15">
          <cell r="GC15">
            <v>273375</v>
          </cell>
          <cell r="GO15">
            <v>275995</v>
          </cell>
          <cell r="HA15">
            <v>278648</v>
          </cell>
          <cell r="HM15">
            <v>281388</v>
          </cell>
        </row>
        <row r="19">
          <cell r="GC19">
            <v>925</v>
          </cell>
          <cell r="GO19">
            <v>925</v>
          </cell>
          <cell r="HA19">
            <v>925</v>
          </cell>
          <cell r="HM19">
            <v>925</v>
          </cell>
        </row>
        <row r="23">
          <cell r="GC23">
            <v>44</v>
          </cell>
          <cell r="GO23">
            <v>44</v>
          </cell>
          <cell r="HA23">
            <v>44</v>
          </cell>
          <cell r="HM23">
            <v>44</v>
          </cell>
        </row>
        <row r="27">
          <cell r="GC27">
            <v>27441</v>
          </cell>
          <cell r="GO27">
            <v>35880</v>
          </cell>
          <cell r="HA27">
            <v>46130</v>
          </cell>
          <cell r="HM27">
            <v>58359</v>
          </cell>
        </row>
        <row r="31">
          <cell r="GC31">
            <v>962</v>
          </cell>
          <cell r="GO31">
            <v>967</v>
          </cell>
          <cell r="HA31">
            <v>973</v>
          </cell>
          <cell r="HM31">
            <v>978</v>
          </cell>
        </row>
        <row r="35">
          <cell r="GC35">
            <v>204</v>
          </cell>
          <cell r="GO35">
            <v>204</v>
          </cell>
          <cell r="HA35">
            <v>204</v>
          </cell>
          <cell r="HM35">
            <v>204</v>
          </cell>
        </row>
        <row r="39">
          <cell r="GC39">
            <v>15645</v>
          </cell>
          <cell r="GO39">
            <v>17696</v>
          </cell>
          <cell r="HA39">
            <v>19747</v>
          </cell>
          <cell r="HM39">
            <v>21798</v>
          </cell>
        </row>
        <row r="43">
          <cell r="GC43">
            <v>526</v>
          </cell>
          <cell r="GO43">
            <v>600</v>
          </cell>
          <cell r="HA43">
            <v>674</v>
          </cell>
          <cell r="HM43">
            <v>748</v>
          </cell>
        </row>
        <row r="47">
          <cell r="GC47">
            <v>3456</v>
          </cell>
          <cell r="GO47">
            <v>3409</v>
          </cell>
          <cell r="HA47">
            <v>3363</v>
          </cell>
          <cell r="HM47">
            <v>3317</v>
          </cell>
        </row>
        <row r="51">
          <cell r="GC51">
            <v>233</v>
          </cell>
          <cell r="GO51">
            <v>233</v>
          </cell>
          <cell r="HA51">
            <v>232</v>
          </cell>
          <cell r="HM51">
            <v>232</v>
          </cell>
        </row>
        <row r="55">
          <cell r="GO55">
            <v>0</v>
          </cell>
          <cell r="HA55">
            <v>0</v>
          </cell>
          <cell r="HM55">
            <v>0</v>
          </cell>
        </row>
        <row r="59">
          <cell r="GC59">
            <v>359</v>
          </cell>
          <cell r="GO59">
            <v>359</v>
          </cell>
          <cell r="HA59">
            <v>359</v>
          </cell>
          <cell r="HM59">
            <v>359</v>
          </cell>
        </row>
        <row r="63">
          <cell r="GC63">
            <v>0</v>
          </cell>
          <cell r="GO63">
            <v>0</v>
          </cell>
          <cell r="HA63">
            <v>0</v>
          </cell>
          <cell r="HM63">
            <v>0</v>
          </cell>
        </row>
        <row r="67">
          <cell r="GC67">
            <v>47</v>
          </cell>
          <cell r="GO67">
            <v>47</v>
          </cell>
          <cell r="HA67">
            <v>47</v>
          </cell>
          <cell r="HM67">
            <v>47</v>
          </cell>
        </row>
        <row r="71">
          <cell r="GC71">
            <v>0</v>
          </cell>
          <cell r="GO71">
            <v>0</v>
          </cell>
          <cell r="HA71">
            <v>0</v>
          </cell>
          <cell r="HM71">
            <v>0</v>
          </cell>
        </row>
        <row r="79">
          <cell r="GC79">
            <v>124417</v>
          </cell>
          <cell r="GO79">
            <v>124948</v>
          </cell>
          <cell r="HA79">
            <v>125365</v>
          </cell>
          <cell r="HM79">
            <v>126175</v>
          </cell>
        </row>
        <row r="83">
          <cell r="GC83">
            <v>110</v>
          </cell>
          <cell r="GO83">
            <v>110</v>
          </cell>
          <cell r="HA83">
            <v>110</v>
          </cell>
          <cell r="HM83">
            <v>110</v>
          </cell>
        </row>
        <row r="87">
          <cell r="GC87">
            <v>6954</v>
          </cell>
          <cell r="GO87">
            <v>6954</v>
          </cell>
          <cell r="HA87">
            <v>6954</v>
          </cell>
          <cell r="HM87">
            <v>6954</v>
          </cell>
        </row>
        <row r="91">
          <cell r="GC91">
            <v>114</v>
          </cell>
          <cell r="GO91">
            <v>114</v>
          </cell>
          <cell r="HA91">
            <v>114</v>
          </cell>
          <cell r="HM91">
            <v>114</v>
          </cell>
        </row>
        <row r="95">
          <cell r="GC95">
            <v>2087</v>
          </cell>
          <cell r="GO95">
            <v>2087</v>
          </cell>
          <cell r="HA95">
            <v>2087</v>
          </cell>
          <cell r="HM95">
            <v>2087</v>
          </cell>
        </row>
        <row r="99">
          <cell r="GC99">
            <v>1</v>
          </cell>
          <cell r="GO99">
            <v>1</v>
          </cell>
          <cell r="HA99">
            <v>1</v>
          </cell>
          <cell r="HM99">
            <v>1</v>
          </cell>
        </row>
        <row r="107">
          <cell r="GC107">
            <v>0</v>
          </cell>
          <cell r="GO107">
            <v>0</v>
          </cell>
          <cell r="HA107">
            <v>0</v>
          </cell>
          <cell r="HM107">
            <v>0</v>
          </cell>
        </row>
        <row r="111">
          <cell r="GC111">
            <v>0</v>
          </cell>
          <cell r="GO111">
            <v>0</v>
          </cell>
          <cell r="HA111">
            <v>0</v>
          </cell>
          <cell r="HM111">
            <v>0</v>
          </cell>
        </row>
        <row r="115">
          <cell r="GC115">
            <v>0</v>
          </cell>
          <cell r="GO115">
            <v>0</v>
          </cell>
          <cell r="HA115">
            <v>0</v>
          </cell>
          <cell r="HM115">
            <v>0</v>
          </cell>
        </row>
        <row r="119">
          <cell r="GC119">
            <v>20485</v>
          </cell>
          <cell r="GO119">
            <v>20798</v>
          </cell>
          <cell r="HA119">
            <v>21035</v>
          </cell>
          <cell r="HM119">
            <v>21541</v>
          </cell>
        </row>
        <row r="123">
          <cell r="GC123">
            <v>47</v>
          </cell>
          <cell r="GO123">
            <v>47</v>
          </cell>
          <cell r="HA123">
            <v>47</v>
          </cell>
          <cell r="HM123">
            <v>47</v>
          </cell>
        </row>
        <row r="127">
          <cell r="GC127">
            <v>40</v>
          </cell>
          <cell r="GO127">
            <v>40</v>
          </cell>
          <cell r="HA127">
            <v>40</v>
          </cell>
          <cell r="HM127">
            <v>40</v>
          </cell>
        </row>
        <row r="131">
          <cell r="GC131">
            <v>448</v>
          </cell>
          <cell r="GO131">
            <v>494</v>
          </cell>
          <cell r="HA131">
            <v>540</v>
          </cell>
          <cell r="HM131">
            <v>586</v>
          </cell>
        </row>
        <row r="135">
          <cell r="GC135">
            <v>23</v>
          </cell>
          <cell r="GO135">
            <v>23</v>
          </cell>
          <cell r="HA135">
            <v>23</v>
          </cell>
          <cell r="HM135">
            <v>23</v>
          </cell>
        </row>
        <row r="143">
          <cell r="GC143">
            <v>3477</v>
          </cell>
          <cell r="GO143">
            <v>3477</v>
          </cell>
          <cell r="HA143">
            <v>3477</v>
          </cell>
          <cell r="HM143">
            <v>3477</v>
          </cell>
        </row>
        <row r="147">
          <cell r="GC147">
            <v>461</v>
          </cell>
          <cell r="GO147">
            <v>461</v>
          </cell>
          <cell r="HA147">
            <v>461</v>
          </cell>
          <cell r="HM147">
            <v>461</v>
          </cell>
        </row>
        <row r="183">
          <cell r="GC183">
            <v>5548</v>
          </cell>
          <cell r="GO183">
            <v>5496</v>
          </cell>
          <cell r="HA183">
            <v>5445</v>
          </cell>
          <cell r="HM183">
            <v>5395</v>
          </cell>
        </row>
      </sheetData>
      <sheetData sheetId="1"/>
      <sheetData sheetId="2"/>
      <sheetData sheetId="3">
        <row r="11">
          <cell r="T11">
            <v>11865114</v>
          </cell>
        </row>
        <row r="15">
          <cell r="T15">
            <v>3294604</v>
          </cell>
        </row>
        <row r="19">
          <cell r="T19">
            <v>11100</v>
          </cell>
        </row>
        <row r="23">
          <cell r="T23">
            <v>528</v>
          </cell>
        </row>
        <row r="27">
          <cell r="T27">
            <v>373989</v>
          </cell>
        </row>
        <row r="31">
          <cell r="T31">
            <v>11571</v>
          </cell>
        </row>
        <row r="35">
          <cell r="T35">
            <v>2448</v>
          </cell>
        </row>
        <row r="39">
          <cell r="T39">
            <v>199020</v>
          </cell>
        </row>
        <row r="43">
          <cell r="T43">
            <v>6716</v>
          </cell>
        </row>
        <row r="47">
          <cell r="T47">
            <v>41212</v>
          </cell>
        </row>
        <row r="51">
          <cell r="T51">
            <v>2796</v>
          </cell>
        </row>
        <row r="59">
          <cell r="T59">
            <v>4308</v>
          </cell>
        </row>
        <row r="63">
          <cell r="T63">
            <v>0</v>
          </cell>
        </row>
        <row r="67">
          <cell r="T67">
            <v>564</v>
          </cell>
        </row>
        <row r="71">
          <cell r="T71">
            <v>0</v>
          </cell>
        </row>
        <row r="79">
          <cell r="T79">
            <v>1496866</v>
          </cell>
        </row>
        <row r="83">
          <cell r="T83">
            <v>1320</v>
          </cell>
        </row>
        <row r="87">
          <cell r="T87">
            <v>83448</v>
          </cell>
        </row>
        <row r="91">
          <cell r="T91">
            <v>1368</v>
          </cell>
        </row>
        <row r="95">
          <cell r="T95">
            <v>25044</v>
          </cell>
        </row>
        <row r="99">
          <cell r="T99">
            <v>12</v>
          </cell>
        </row>
        <row r="107">
          <cell r="T107">
            <v>0</v>
          </cell>
        </row>
        <row r="111">
          <cell r="T111">
            <v>0</v>
          </cell>
        </row>
        <row r="115">
          <cell r="T115">
            <v>0</v>
          </cell>
        </row>
        <row r="119">
          <cell r="T119">
            <v>248173</v>
          </cell>
        </row>
        <row r="123">
          <cell r="T123">
            <v>564</v>
          </cell>
        </row>
        <row r="127">
          <cell r="T127">
            <v>480</v>
          </cell>
        </row>
        <row r="131">
          <cell r="T131">
            <v>5630</v>
          </cell>
        </row>
        <row r="135">
          <cell r="T135">
            <v>276</v>
          </cell>
        </row>
        <row r="143">
          <cell r="T143">
            <v>41724</v>
          </cell>
        </row>
        <row r="147">
          <cell r="T147">
            <v>5532</v>
          </cell>
        </row>
        <row r="183">
          <cell r="T183">
            <v>66286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-SM-SYS-NET-Y2"/>
      <sheetName val="RES-MM-SYS-NET-Y2"/>
      <sheetName val="RES-DRTOU-SYS-NET-Y2"/>
      <sheetName val="RES-SM-SYS-NET-Y3"/>
      <sheetName val="RES-MM-SYS-NET-Y3"/>
      <sheetName val="RES-DRTOU-SYS-NET-Y3"/>
      <sheetName val="RES-SM-SYS-NET-Y4"/>
      <sheetName val="RES-MM-SYS-NET-Y4"/>
      <sheetName val="RES-DRTOU-SYS-NET-Y4"/>
      <sheetName val="RES-SM-SYS-NET-Y5"/>
      <sheetName val="RES-MM-SYS-NET-Y5"/>
      <sheetName val="RES-DRTOU-SYS-NET-Y5"/>
      <sheetName val="RES-TOU-SYS-NET"/>
      <sheetName val="A-SYS-NET"/>
      <sheetName val="SMC-SYS-NET"/>
      <sheetName val="PA-SYS-NET"/>
      <sheetName val="PAT1-SYS-NET"/>
      <sheetName val="OLTOU-SYS-NET"/>
      <sheetName val="OLTOU-200-SYS-NET"/>
      <sheetName val="ADTOU-SYS-NET"/>
      <sheetName val="ADTOU-200-SYS-NET"/>
      <sheetName val="AYTOU-SYS-NET"/>
      <sheetName val="AYTOU-200-SYS-NET"/>
      <sheetName val="ALTOU-SYS-NET"/>
      <sheetName val="ALTOU-200-SYS-NET"/>
      <sheetName val="ALTOU-500-SYS-NET"/>
      <sheetName val="DGR-SYS-NET"/>
      <sheetName val="DGR-200-SYS-NET"/>
      <sheetName val="DGR-500-SYS-NET"/>
      <sheetName val="A6TOU-500-SYS-NET"/>
      <sheetName val="MISC-SYS"/>
      <sheetName val="CPP-SYS-N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">
          <cell r="D12">
            <v>1489402</v>
          </cell>
          <cell r="G12">
            <v>1320</v>
          </cell>
        </row>
        <row r="19">
          <cell r="B19">
            <v>622456.25395463023</v>
          </cell>
          <cell r="C19">
            <v>986.96635036069836</v>
          </cell>
          <cell r="E19">
            <v>525.84098704588848</v>
          </cell>
          <cell r="F19">
            <v>0</v>
          </cell>
        </row>
        <row r="20">
          <cell r="B20">
            <v>741050.37198132905</v>
          </cell>
          <cell r="C20">
            <v>206.3541882847006</v>
          </cell>
          <cell r="E20">
            <v>737.75068270095767</v>
          </cell>
          <cell r="F20">
            <v>0</v>
          </cell>
        </row>
        <row r="21">
          <cell r="B21">
            <v>115037.32808900418</v>
          </cell>
          <cell r="C21">
            <v>21.23776831844139</v>
          </cell>
          <cell r="E21">
            <v>49.31887086597802</v>
          </cell>
          <cell r="F21">
            <v>0</v>
          </cell>
        </row>
        <row r="22">
          <cell r="B22">
            <v>9599.991659944495</v>
          </cell>
          <cell r="C22">
            <v>43.496008128197708</v>
          </cell>
          <cell r="E22">
            <v>7.0894593871758325</v>
          </cell>
          <cell r="F22">
            <v>0</v>
          </cell>
        </row>
      </sheetData>
      <sheetData sheetId="14">
        <row r="10">
          <cell r="B10">
            <v>25019.999999999996</v>
          </cell>
          <cell r="D10">
            <v>83448.000000000015</v>
          </cell>
        </row>
        <row r="17">
          <cell r="B17">
            <v>1128.4170355441756</v>
          </cell>
          <cell r="D17">
            <v>81055.400225174264</v>
          </cell>
        </row>
        <row r="18">
          <cell r="B18">
            <v>5787.1016174098631</v>
          </cell>
          <cell r="D18">
            <v>2392.5997748257482</v>
          </cell>
        </row>
        <row r="19">
          <cell r="B19">
            <v>17968.46661713464</v>
          </cell>
        </row>
        <row r="20">
          <cell r="B20">
            <v>136.01472991131962</v>
          </cell>
        </row>
      </sheetData>
      <sheetData sheetId="15">
        <row r="9">
          <cell r="B9">
            <v>33575.334947986521</v>
          </cell>
          <cell r="C9">
            <v>8112.6650520134845</v>
          </cell>
          <cell r="D9">
            <v>41688.000000000007</v>
          </cell>
        </row>
      </sheetData>
      <sheetData sheetId="16">
        <row r="8">
          <cell r="G8">
            <v>5531.9999999999991</v>
          </cell>
        </row>
        <row r="18">
          <cell r="B18">
            <v>1403.5958004870988</v>
          </cell>
          <cell r="C18">
            <v>23.607468467504603</v>
          </cell>
        </row>
        <row r="19">
          <cell r="B19">
            <v>3666.3883536367689</v>
          </cell>
          <cell r="C19">
            <v>24.548300323304812</v>
          </cell>
        </row>
        <row r="20">
          <cell r="B20">
            <v>291.97224846356778</v>
          </cell>
          <cell r="C20">
            <v>121.88782862175472</v>
          </cell>
        </row>
      </sheetData>
      <sheetData sheetId="17">
        <row r="8">
          <cell r="G8">
            <v>325.69473537215475</v>
          </cell>
        </row>
        <row r="17">
          <cell r="B17">
            <v>325.69473537215475</v>
          </cell>
        </row>
      </sheetData>
      <sheetData sheetId="18">
        <row r="8">
          <cell r="G8">
            <v>118.30526462784528</v>
          </cell>
        </row>
        <row r="17">
          <cell r="B17">
            <v>118.30526462784528</v>
          </cell>
        </row>
      </sheetData>
      <sheetData sheetId="19">
        <row r="8">
          <cell r="G8">
            <v>-204</v>
          </cell>
        </row>
        <row r="17">
          <cell r="B17">
            <v>-204</v>
          </cell>
          <cell r="C17">
            <v>0</v>
          </cell>
        </row>
        <row r="18">
          <cell r="B18">
            <v>0</v>
          </cell>
          <cell r="C18">
            <v>0</v>
          </cell>
        </row>
      </sheetData>
      <sheetData sheetId="20">
        <row r="8">
          <cell r="G8">
            <v>0</v>
          </cell>
        </row>
        <row r="17">
          <cell r="B17">
            <v>0</v>
          </cell>
          <cell r="C17">
            <v>0</v>
          </cell>
        </row>
        <row r="18">
          <cell r="B18">
            <v>0</v>
          </cell>
          <cell r="C18">
            <v>0</v>
          </cell>
        </row>
      </sheetData>
      <sheetData sheetId="21">
        <row r="9">
          <cell r="N9">
            <v>-348</v>
          </cell>
        </row>
        <row r="18">
          <cell r="B18">
            <v>-348</v>
          </cell>
          <cell r="C18">
            <v>0</v>
          </cell>
        </row>
        <row r="19">
          <cell r="B19">
            <v>0</v>
          </cell>
          <cell r="C19">
            <v>0</v>
          </cell>
        </row>
      </sheetData>
      <sheetData sheetId="22">
        <row r="9">
          <cell r="N9">
            <v>0</v>
          </cell>
        </row>
        <row r="18">
          <cell r="B18">
            <v>0</v>
          </cell>
          <cell r="C18">
            <v>0</v>
          </cell>
        </row>
        <row r="19">
          <cell r="B19">
            <v>0</v>
          </cell>
          <cell r="C19">
            <v>0</v>
          </cell>
        </row>
      </sheetData>
      <sheetData sheetId="23">
        <row r="9">
          <cell r="N9">
            <v>209056.14434382028</v>
          </cell>
        </row>
        <row r="19">
          <cell r="B19">
            <v>207718.06413199403</v>
          </cell>
          <cell r="C19">
            <v>769.51695373055009</v>
          </cell>
          <cell r="F19">
            <v>87.148178730634541</v>
          </cell>
          <cell r="H19">
            <v>481.41507936507929</v>
          </cell>
        </row>
        <row r="20">
          <cell r="B20">
            <v>0</v>
          </cell>
          <cell r="C20">
            <v>0</v>
          </cell>
          <cell r="F20">
            <v>0</v>
          </cell>
        </row>
        <row r="21">
          <cell r="C21">
            <v>0</v>
          </cell>
          <cell r="F21">
            <v>0</v>
          </cell>
        </row>
      </sheetData>
      <sheetData sheetId="24">
        <row r="9">
          <cell r="N9">
            <v>20817.369094426289</v>
          </cell>
        </row>
        <row r="19">
          <cell r="B19">
            <v>19689.798825398269</v>
          </cell>
          <cell r="C19">
            <v>999.7088665004934</v>
          </cell>
          <cell r="F19">
            <v>45.276481892606647</v>
          </cell>
          <cell r="H19">
            <v>70.787074829931967</v>
          </cell>
          <cell r="I19">
            <v>11.797845804988663</v>
          </cell>
        </row>
        <row r="20">
          <cell r="B20">
            <v>0</v>
          </cell>
          <cell r="C20">
            <v>0</v>
          </cell>
          <cell r="F20">
            <v>0</v>
          </cell>
        </row>
        <row r="21">
          <cell r="C21">
            <v>0</v>
          </cell>
          <cell r="F21">
            <v>0</v>
          </cell>
        </row>
      </sheetData>
      <sheetData sheetId="25">
        <row r="9">
          <cell r="N9">
            <v>9368.4865617533997</v>
          </cell>
        </row>
        <row r="19">
          <cell r="B19">
            <v>0</v>
          </cell>
          <cell r="C19">
            <v>0</v>
          </cell>
          <cell r="F19">
            <v>0</v>
          </cell>
        </row>
        <row r="20">
          <cell r="B20">
            <v>6545.1656565402791</v>
          </cell>
          <cell r="C20">
            <v>2050.2033013177238</v>
          </cell>
          <cell r="D20">
            <v>162.99788301729433</v>
          </cell>
          <cell r="E20">
            <v>431.27096972763377</v>
          </cell>
          <cell r="F20">
            <v>121.1260718262193</v>
          </cell>
        </row>
        <row r="21">
          <cell r="C21">
            <v>0</v>
          </cell>
          <cell r="E21">
            <v>44.139522406141381</v>
          </cell>
          <cell r="F21">
            <v>13.583156918107861</v>
          </cell>
        </row>
      </sheetData>
      <sheetData sheetId="26">
        <row r="8">
          <cell r="G8">
            <v>3383.1724919342255</v>
          </cell>
        </row>
        <row r="17">
          <cell r="B17">
            <v>3378.7303587714468</v>
          </cell>
          <cell r="C17">
            <v>4.4421331627784681</v>
          </cell>
        </row>
      </sheetData>
      <sheetData sheetId="27">
        <row r="8">
          <cell r="G8">
            <v>665.04133455989825</v>
          </cell>
        </row>
        <row r="17">
          <cell r="B17">
            <v>659.65028436576654</v>
          </cell>
          <cell r="C17">
            <v>5.3910501941317364</v>
          </cell>
        </row>
      </sheetData>
      <sheetData sheetId="28">
        <row r="8">
          <cell r="G8">
            <v>200.67081089655869</v>
          </cell>
        </row>
        <row r="18">
          <cell r="B18">
            <v>182.80147685108574</v>
          </cell>
          <cell r="C18">
            <v>17.869334045472954</v>
          </cell>
        </row>
      </sheetData>
      <sheetData sheetId="29">
        <row r="8">
          <cell r="G8">
            <v>264</v>
          </cell>
        </row>
        <row r="17">
          <cell r="C17">
            <v>128.14069264069263</v>
          </cell>
          <cell r="E17">
            <v>38.233766233766232</v>
          </cell>
          <cell r="F17">
            <v>59.39177489177488</v>
          </cell>
        </row>
        <row r="18">
          <cell r="F18">
            <v>38.233766233766232</v>
          </cell>
        </row>
      </sheetData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inancial Assumptions 2018"/>
    </sheetNames>
    <sheetDataSet>
      <sheetData sheetId="0">
        <row r="159">
          <cell r="Z159">
            <v>123.76041741556521</v>
          </cell>
        </row>
        <row r="162">
          <cell r="Z162">
            <v>123.27432212211764</v>
          </cell>
        </row>
        <row r="164">
          <cell r="Z164">
            <v>107.67563520615241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General_Plant"/>
      <sheetName val="Working_Cap."/>
      <sheetName val="Admin_General"/>
      <sheetName val="RECC"/>
    </sheetNames>
    <sheetDataSet>
      <sheetData sheetId="0"/>
      <sheetData sheetId="1"/>
      <sheetData sheetId="2"/>
      <sheetData sheetId="3"/>
      <sheetData sheetId="4">
        <row r="57">
          <cell r="G57">
            <v>0.32058110500046172</v>
          </cell>
        </row>
        <row r="58">
          <cell r="G58">
            <v>0.67941889499953823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Marg Cust Cost Summary"/>
      <sheetName val="Marg Cust Cost by Rate Schedule"/>
      <sheetName val="Inputs"/>
      <sheetName val="Resid Cust Fcst "/>
      <sheetName val="Resid TSM UC"/>
      <sheetName val="Resid TSM UC Adj"/>
      <sheetName val="Resid TSM Summary"/>
      <sheetName val="Resid TSM Sum by Rate Schedule"/>
      <sheetName val="Resid Cust Cost Summary"/>
      <sheetName val="Sch DR TSM"/>
      <sheetName val="Sch DM TSM"/>
      <sheetName val="Sch DS TSM"/>
      <sheetName val="Sch DT TSM"/>
      <sheetName val="Sch DT-RV TSM"/>
      <sheetName val="Sch DR-TOU TSM"/>
      <sheetName val="Sch TOU-DR TSM"/>
      <sheetName val="Sch DR-SES TSM"/>
      <sheetName val="Sch EV-TOU  TSM"/>
      <sheetName val="Sch EV-TOU -2 TSM"/>
      <sheetName val="Sm Comm Cust Fcst"/>
      <sheetName val="Small Comm TSM Summary"/>
      <sheetName val="Small Comm Cust Cost Summary"/>
      <sheetName val="Sch TOU-A TSM"/>
      <sheetName val="Sch TOU-A TSM Summary"/>
      <sheetName val="Sch TOU-A Cust Cost Summary"/>
      <sheetName val="Sch A-TC TSM"/>
      <sheetName val="Sch A-TC TSM Summary"/>
      <sheetName val="Sch A-TC Cust Cost Summary"/>
      <sheetName val="Sch A-TOU TSM"/>
      <sheetName val="Sch A-TOU TSM Summary"/>
      <sheetName val="Sch A-TOU Cust Cost Summary"/>
      <sheetName val="Sch UM TSM"/>
      <sheetName val="Sch UM TSM Summary"/>
      <sheetName val="Sch UM Cust Cost Summary"/>
      <sheetName val="M-L C&amp;I TSM Summary"/>
      <sheetName val="M-L C&amp;I Cust Cost Summary "/>
      <sheetName val="Sch OL-TOU Cust Fcst"/>
      <sheetName val="Sch OL-TOU TSM"/>
      <sheetName val="Sch OL-TOU TSM Summary"/>
      <sheetName val="Sch OL-TOU Cust Cost Summary"/>
      <sheetName val="Sch AL-TOU Cust Fcst"/>
      <sheetName val="Sch AL-TOU TSM"/>
      <sheetName val="Sch AL-TOU TSM Summary"/>
      <sheetName val="Sch AL-TOU Cust Cost Summary"/>
      <sheetName val="Sch DG-R Cust Fcst"/>
      <sheetName val="Sch DG-R TSM"/>
      <sheetName val="Sch DG-R TSM Summary"/>
      <sheetName val="Sch DG-R Cust Cost Summary"/>
      <sheetName val="Sch A6-TOU Cust Fcst "/>
      <sheetName val="Sch A6-TOU TSM"/>
      <sheetName val="Sch A6-TOU TSM Summary"/>
      <sheetName val="Sch A6-TOU Cust Cost Summary"/>
      <sheetName val="Agric TSM Summary"/>
      <sheetName val="Agric Cust Cost Summary"/>
      <sheetName val="Sch PA-T-1 Cust Fcst"/>
      <sheetName val="Sch PA-T-1 TSM"/>
      <sheetName val="Sch PA-T-1 TSM Summary"/>
      <sheetName val="Sch PA-T1 Cust Cost Summary"/>
      <sheetName val="Sch TOU-PA Cust Fcst"/>
      <sheetName val="Sch TOU-PA TSM"/>
      <sheetName val="Sch TOU-PA TSM Summary"/>
      <sheetName val="Sch TOU-PA Cust Cost Summary"/>
      <sheetName val="Street Light Cust Cost Summary"/>
      <sheetName val="Non-Residential TSM UC"/>
      <sheetName val="Non-Residential TSM UC Adj"/>
      <sheetName val="Total Customers"/>
      <sheetName val="Cust Service Cost Allocations"/>
      <sheetName val="TSM Cap Cost Allocations"/>
      <sheetName val="Distribution O&amp;M Alloc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212.41896233462634</v>
          </cell>
          <cell r="C10">
            <v>213.93723840146316</v>
          </cell>
          <cell r="D10">
            <v>233.79873566390501</v>
          </cell>
          <cell r="E10">
            <v>332.57085927715195</v>
          </cell>
          <cell r="F10">
            <v>233.85167382870014</v>
          </cell>
          <cell r="G10">
            <v>212.1975103773606</v>
          </cell>
          <cell r="H10">
            <v>212.46870961600607</v>
          </cell>
          <cell r="I10">
            <v>212.46537183135524</v>
          </cell>
          <cell r="J10">
            <v>214.42156077852528</v>
          </cell>
          <cell r="K10">
            <v>212.34569072826923</v>
          </cell>
          <cell r="L10">
            <v>212.46560457852493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0">
          <cell r="B10">
            <v>274.75825806138499</v>
          </cell>
          <cell r="C10">
            <v>300.31169562718395</v>
          </cell>
          <cell r="D10">
            <v>310.24085101987561</v>
          </cell>
          <cell r="E10">
            <v>446.03680509841161</v>
          </cell>
          <cell r="F10">
            <v>290.6871559638443</v>
          </cell>
          <cell r="G10">
            <v>928.11620551141766</v>
          </cell>
          <cell r="H10">
            <v>928.11620551141766</v>
          </cell>
          <cell r="I10">
            <v>928.11620551141766</v>
          </cell>
          <cell r="J10">
            <v>1001.5434814917861</v>
          </cell>
          <cell r="K10">
            <v>939.13029690847304</v>
          </cell>
          <cell r="L10">
            <v>274.82662478068568</v>
          </cell>
          <cell r="M10">
            <v>300.3983544297937</v>
          </cell>
          <cell r="N10">
            <v>310.38392740160339</v>
          </cell>
          <cell r="O10">
            <v>448.24119667140116</v>
          </cell>
          <cell r="P10">
            <v>290.7854540736484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0">
          <cell r="B10">
            <v>452.41878608688921</v>
          </cell>
          <cell r="C10">
            <v>928.11620551141743</v>
          </cell>
          <cell r="E10">
            <v>465.38283582914767</v>
          </cell>
          <cell r="F10">
            <v>1016.2289366878597</v>
          </cell>
          <cell r="G10">
            <v>1038.2571194819702</v>
          </cell>
          <cell r="H10">
            <v>1038.2571194819702</v>
          </cell>
          <cell r="I10">
            <v>1028.6273127960201</v>
          </cell>
          <cell r="J10">
            <v>1038.2571194819702</v>
          </cell>
          <cell r="K10">
            <v>1038.2571194819702</v>
          </cell>
          <cell r="L10">
            <v>1038.2571194819702</v>
          </cell>
          <cell r="M10">
            <v>1038.2571194819702</v>
          </cell>
          <cell r="N10">
            <v>457.83674968945832</v>
          </cell>
          <cell r="O10">
            <v>962.25988884228934</v>
          </cell>
          <cell r="P10">
            <v>1038.2571194819702</v>
          </cell>
          <cell r="Q10">
            <v>477.55404791158088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>
        <row r="10">
          <cell r="B10">
            <v>281.88359174067455</v>
          </cell>
          <cell r="C10">
            <v>479.41972710907874</v>
          </cell>
          <cell r="D10">
            <v>336.03055270460266</v>
          </cell>
          <cell r="E10">
            <v>928.11620551141766</v>
          </cell>
          <cell r="F10">
            <v>1038.2571194819702</v>
          </cell>
          <cell r="G10">
            <v>1034.0209304831028</v>
          </cell>
          <cell r="H10">
            <v>282.10946822224417</v>
          </cell>
          <cell r="I10">
            <v>492.0631070270174</v>
          </cell>
          <cell r="J10">
            <v>340.60638473239919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Marg Cust Cost Summary"/>
      <sheetName val="Marg Cust Cost by Rate Schedule"/>
      <sheetName val="Inputs"/>
      <sheetName val="Resid Cust Fcst "/>
      <sheetName val="Resid TSM UC"/>
      <sheetName val="Resid TSM UC Adj"/>
      <sheetName val="Resid TSM Summary"/>
      <sheetName val="Resid TSM Sum by Rate Schedule"/>
      <sheetName val="Resid Cust Cost Summary"/>
      <sheetName val="Sch DR TSM"/>
      <sheetName val="Sch DM TSM"/>
      <sheetName val="Sch DS TSM"/>
      <sheetName val="Sch DT TSM"/>
      <sheetName val="Sch DT-RV TSM"/>
      <sheetName val="Sch DR-TOU TSM"/>
      <sheetName val="Sch TOU-DR TSM"/>
      <sheetName val="Sch DR-SES TSM"/>
      <sheetName val="Sch EV-TOU  TSM"/>
      <sheetName val="Sch EV-TOU -2 TSM"/>
      <sheetName val="Sm Comm Cust Fcst"/>
      <sheetName val="Sm Comm TSM Summary"/>
      <sheetName val="Sm Comm Cust Cost Summary"/>
      <sheetName val="Sch TOU-A TSM"/>
      <sheetName val="Sch TOU-A TSM Summary"/>
      <sheetName val="Sch TOU-A Cust Cost Summary"/>
      <sheetName val="Sch A-TC TSM"/>
      <sheetName val="Sch A-TC TSM Summary"/>
      <sheetName val="Sch A-TC Cust Cost Summary"/>
      <sheetName val="Sch A-TOU TSM"/>
      <sheetName val="Sch A-TOU TSM Summary"/>
      <sheetName val="Sch A-TOU Cust Cost Summary"/>
      <sheetName val="Sch UM TSM"/>
      <sheetName val="Sch UM TSM Summary"/>
      <sheetName val="Sch UM Cust Cost Summary"/>
      <sheetName val="M-L C&amp;I TSM Summary"/>
      <sheetName val="M-L C&amp;I Cust Cost Summary "/>
      <sheetName val="Sch OL-TOU Cust Fcst"/>
      <sheetName val="Sch OL-TOU TSM"/>
      <sheetName val="Sch OL-TOU TSM Summary"/>
      <sheetName val="Sch OL-TOU Cust Cost Summary"/>
      <sheetName val="Sch AL-TOU Cust Fcst"/>
      <sheetName val="Sch AL-TOU TSM"/>
      <sheetName val="Sch AL-TOU TSM Summary"/>
      <sheetName val="Sch AL-TOU Cust Cost Summary"/>
      <sheetName val="Sch DG-R Cust Fcst"/>
      <sheetName val="Sch DG-R TSM"/>
      <sheetName val="Sch DG-R TSM Summary"/>
      <sheetName val="Sch DG-R Cust Cost Summary"/>
      <sheetName val="Sch A6-TOU Cust Fcst "/>
      <sheetName val="Sch A6-TOU TSM"/>
      <sheetName val="Sch A6-TOU TSM Summary"/>
      <sheetName val="Sch A6-TOU Cust Cost Summary"/>
      <sheetName val="Agric TSM Summary"/>
      <sheetName val="Agric Cust Cost Summary"/>
      <sheetName val="Sch PA-T-1 Cust Fcst"/>
      <sheetName val="Sch PA-T-1 TSM"/>
      <sheetName val="Sch PA-T-1 TSM Summary"/>
      <sheetName val="Sch PA-T-1 Cust Cost Summary"/>
      <sheetName val="Sch TOU-PA Cust Fcst"/>
      <sheetName val="Sch TOU-PA TSM"/>
      <sheetName val="Sch TOU-PA TSM Summary"/>
      <sheetName val="Sch TOU-PA Cust Cost Summary"/>
      <sheetName val="Street Light Cust Cost Summary"/>
      <sheetName val="Non-Residential TSM UC"/>
      <sheetName val="Non-Residential TSM UC Adj"/>
      <sheetName val="Total Customers"/>
      <sheetName val="Cust Service Cost Allocations"/>
      <sheetName val="TSM Cap Cost Allocations"/>
      <sheetName val="Distribution O&amp;M Allocations"/>
    </sheetNames>
    <sheetDataSet>
      <sheetData sheetId="0"/>
      <sheetData sheetId="1"/>
      <sheetData sheetId="2"/>
      <sheetData sheetId="3">
        <row r="3">
          <cell r="C3">
            <v>2.7723662892949787E-2</v>
          </cell>
        </row>
        <row r="4">
          <cell r="C4">
            <v>1.5023E-2</v>
          </cell>
        </row>
        <row r="16">
          <cell r="C16">
            <v>4489781.140500363</v>
          </cell>
        </row>
        <row r="17">
          <cell r="C17">
            <v>1482557.75</v>
          </cell>
        </row>
      </sheetData>
      <sheetData sheetId="4"/>
      <sheetData sheetId="5"/>
      <sheetData sheetId="6"/>
      <sheetData sheetId="7"/>
      <sheetData sheetId="8"/>
      <sheetData sheetId="9">
        <row r="8">
          <cell r="B8">
            <v>677.89881841095337</v>
          </cell>
          <cell r="C8">
            <v>533.55413979815535</v>
          </cell>
          <cell r="D8">
            <v>1025.4600101953902</v>
          </cell>
          <cell r="E8">
            <v>1051.1390835340403</v>
          </cell>
          <cell r="F8">
            <v>1594.3673790544228</v>
          </cell>
          <cell r="G8">
            <v>802.6089023214588</v>
          </cell>
          <cell r="H8">
            <v>765.21676347109837</v>
          </cell>
          <cell r="I8">
            <v>899.89088734158736</v>
          </cell>
          <cell r="J8">
            <v>781.41418630910903</v>
          </cell>
          <cell r="K8">
            <v>950.80620900407246</v>
          </cell>
          <cell r="L8">
            <v>680.52185247371688</v>
          </cell>
        </row>
        <row r="9">
          <cell r="B9">
            <v>166.40911596430101</v>
          </cell>
          <cell r="C9">
            <v>178.73403805557686</v>
          </cell>
          <cell r="D9">
            <v>425.89309357506113</v>
          </cell>
          <cell r="E9">
            <v>1552.5146751059192</v>
          </cell>
          <cell r="F9">
            <v>940.49596833084468</v>
          </cell>
          <cell r="G9">
            <v>192.29342772725278</v>
          </cell>
          <cell r="H9">
            <v>177.10507160030599</v>
          </cell>
          <cell r="I9">
            <v>207.60578350691929</v>
          </cell>
          <cell r="J9">
            <v>172.04023268816647</v>
          </cell>
          <cell r="K9">
            <v>211.72561971802705</v>
          </cell>
          <cell r="L9">
            <v>167.42004632282004</v>
          </cell>
        </row>
        <row r="10">
          <cell r="B10">
            <v>267.4336014108722</v>
          </cell>
          <cell r="C10">
            <v>268.99845283809219</v>
          </cell>
          <cell r="D10">
            <v>289.50698692219817</v>
          </cell>
          <cell r="E10">
            <v>401.86826582299057</v>
          </cell>
          <cell r="F10">
            <v>289.12340175821606</v>
          </cell>
          <cell r="G10">
            <v>267.20949310143351</v>
          </cell>
          <cell r="H10">
            <v>267.48394541896687</v>
          </cell>
          <cell r="I10">
            <v>267.48056759704741</v>
          </cell>
          <cell r="J10">
            <v>269.46022134816189</v>
          </cell>
          <cell r="K10">
            <v>267.35945089970352</v>
          </cell>
          <cell r="L10">
            <v>267.484978001873</v>
          </cell>
        </row>
        <row r="30">
          <cell r="B30">
            <v>8.9544494471416112</v>
          </cell>
          <cell r="C30">
            <v>8.724706333911918</v>
          </cell>
          <cell r="D30">
            <v>25.140429015963075</v>
          </cell>
          <cell r="E30">
            <v>72.398298957883554</v>
          </cell>
          <cell r="F30">
            <v>40.579522047863556</v>
          </cell>
          <cell r="G30">
            <v>10.168503242216142</v>
          </cell>
          <cell r="H30">
            <v>9.7695521825970157</v>
          </cell>
          <cell r="I30">
            <v>11.221189918025162</v>
          </cell>
          <cell r="J30">
            <v>9.9937995104982562</v>
          </cell>
          <cell r="K30">
            <v>11.572909276346989</v>
          </cell>
          <cell r="L30">
            <v>9.0050712252016929</v>
          </cell>
        </row>
        <row r="31">
          <cell r="B31">
            <v>-3.0284021924274875</v>
          </cell>
          <cell r="C31">
            <v>-3.0284021924274875</v>
          </cell>
          <cell r="D31">
            <v>-3.0284021924274875</v>
          </cell>
          <cell r="E31">
            <v>-3.0284021924274875</v>
          </cell>
          <cell r="F31">
            <v>-3.0284021924274875</v>
          </cell>
          <cell r="G31">
            <v>-3.0284021924274875</v>
          </cell>
          <cell r="H31">
            <v>-3.0284021924274875</v>
          </cell>
          <cell r="I31">
            <v>-3.0284021924274875</v>
          </cell>
          <cell r="J31">
            <v>-3.0284021924274875</v>
          </cell>
          <cell r="K31">
            <v>-3.0284021924274875</v>
          </cell>
          <cell r="L31">
            <v>-3.0284021924274875</v>
          </cell>
        </row>
        <row r="34">
          <cell r="B34">
            <v>28.478866312568123</v>
          </cell>
          <cell r="C34">
            <v>28.478866312568123</v>
          </cell>
          <cell r="D34">
            <v>28.478866312568123</v>
          </cell>
          <cell r="E34">
            <v>28.478866312568126</v>
          </cell>
          <cell r="F34">
            <v>28.47886631256813</v>
          </cell>
          <cell r="G34">
            <v>28.478866312568126</v>
          </cell>
          <cell r="H34">
            <v>28.478866312568123</v>
          </cell>
          <cell r="I34">
            <v>28.478866312568123</v>
          </cell>
          <cell r="J34">
            <v>28.478866312568119</v>
          </cell>
          <cell r="K34">
            <v>28.478866312568112</v>
          </cell>
          <cell r="L34">
            <v>28.478866312568123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8">
          <cell r="B8">
            <v>564.95057472916483</v>
          </cell>
          <cell r="C8">
            <v>2445.3561789978348</v>
          </cell>
          <cell r="D8">
            <v>8458.8751489189381</v>
          </cell>
          <cell r="E8">
            <v>12884.039499381299</v>
          </cell>
          <cell r="F8">
            <v>2081.2999751860907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564.89145886853748</v>
          </cell>
          <cell r="M8">
            <v>2445.0186350090771</v>
          </cell>
          <cell r="N8">
            <v>8456.9163958452045</v>
          </cell>
          <cell r="O8">
            <v>12832.912358510741</v>
          </cell>
          <cell r="P8">
            <v>2080.9844689518845</v>
          </cell>
        </row>
        <row r="9">
          <cell r="B9">
            <v>303.72905392202534</v>
          </cell>
          <cell r="C9">
            <v>570.37959973173861</v>
          </cell>
          <cell r="D9">
            <v>799.42639773374458</v>
          </cell>
          <cell r="E9">
            <v>1683.5745981847397</v>
          </cell>
          <cell r="F9">
            <v>475.83248980503129</v>
          </cell>
          <cell r="G9">
            <v>3396.4220443713425</v>
          </cell>
          <cell r="H9">
            <v>3396.4220443713425</v>
          </cell>
          <cell r="I9">
            <v>3396.4220443713425</v>
          </cell>
          <cell r="J9">
            <v>5075.863801084749</v>
          </cell>
          <cell r="K9">
            <v>3648.3383078783536</v>
          </cell>
          <cell r="L9">
            <v>304.05267020982961</v>
          </cell>
          <cell r="M9">
            <v>570.76969163219644</v>
          </cell>
          <cell r="N9">
            <v>800.02776294079274</v>
          </cell>
          <cell r="O9">
            <v>1697.0360632756126</v>
          </cell>
          <cell r="P9">
            <v>476.31341296631996</v>
          </cell>
        </row>
        <row r="10">
          <cell r="B10">
            <v>278.86106224823044</v>
          </cell>
          <cell r="C10">
            <v>304.97803387835336</v>
          </cell>
          <cell r="D10">
            <v>315.12899242024781</v>
          </cell>
          <cell r="E10">
            <v>452.39001830603263</v>
          </cell>
          <cell r="F10">
            <v>295.132712683043</v>
          </cell>
          <cell r="G10">
            <v>939.38301028660817</v>
          </cell>
          <cell r="H10">
            <v>939.38301028660817</v>
          </cell>
          <cell r="I10">
            <v>939.38301028660817</v>
          </cell>
          <cell r="J10">
            <v>1013.2782740042636</v>
          </cell>
          <cell r="K10">
            <v>950.46729984425656</v>
          </cell>
          <cell r="L10">
            <v>278.93017860135626</v>
          </cell>
          <cell r="M10">
            <v>305.06560377433152</v>
          </cell>
          <cell r="N10">
            <v>315.27354585728983</v>
          </cell>
          <cell r="O10">
            <v>454.61576535245416</v>
          </cell>
          <cell r="P10">
            <v>295.23205547370532</v>
          </cell>
        </row>
        <row r="30">
          <cell r="B30">
            <v>26.892993865504845</v>
          </cell>
          <cell r="C30">
            <v>29.437592847759646</v>
          </cell>
          <cell r="D30">
            <v>30.394637612355719</v>
          </cell>
          <cell r="E30">
            <v>29.678316282841365</v>
          </cell>
          <cell r="F30">
            <v>28.39565119062171</v>
          </cell>
          <cell r="G30">
            <v>45.783288648094988</v>
          </cell>
          <cell r="H30">
            <v>45.783288648094981</v>
          </cell>
          <cell r="I30">
            <v>45.783288648094981</v>
          </cell>
          <cell r="J30">
            <v>45.783288648094988</v>
          </cell>
          <cell r="K30">
            <v>45.783288648094981</v>
          </cell>
          <cell r="L30">
            <v>26.895568156447098</v>
          </cell>
          <cell r="M30">
            <v>29.44020424361215</v>
          </cell>
          <cell r="N30">
            <v>30.39699759090982</v>
          </cell>
          <cell r="O30">
            <v>29.680018203061277</v>
          </cell>
          <cell r="P30">
            <v>28.398286999049784</v>
          </cell>
        </row>
        <row r="31">
          <cell r="B31">
            <v>-3.0284021924274875</v>
          </cell>
          <cell r="C31">
            <v>-3.0284021924274875</v>
          </cell>
          <cell r="D31">
            <v>-3.0284021924274875</v>
          </cell>
          <cell r="E31">
            <v>-3.0284021924274875</v>
          </cell>
          <cell r="F31">
            <v>-3.0284021924274875</v>
          </cell>
          <cell r="G31">
            <v>-3.0284021924274875</v>
          </cell>
          <cell r="H31">
            <v>-3.0284021924274875</v>
          </cell>
          <cell r="I31">
            <v>-3.0284021924274875</v>
          </cell>
          <cell r="J31">
            <v>-3.0284021924274875</v>
          </cell>
          <cell r="K31">
            <v>-3.0284021924274875</v>
          </cell>
          <cell r="L31">
            <v>-3.0284021924274875</v>
          </cell>
          <cell r="M31">
            <v>-3.0284021924274875</v>
          </cell>
          <cell r="N31">
            <v>-3.0284021924274875</v>
          </cell>
          <cell r="O31">
            <v>-3.0284021924274875</v>
          </cell>
          <cell r="P31">
            <v>-3.0284021924274875</v>
          </cell>
        </row>
        <row r="34">
          <cell r="B34">
            <v>56.483965806152284</v>
          </cell>
          <cell r="C34">
            <v>56.483406407519858</v>
          </cell>
          <cell r="D34">
            <v>56.4578056390447</v>
          </cell>
          <cell r="E34">
            <v>56.371892193164172</v>
          </cell>
          <cell r="F34">
            <v>56.481337178491849</v>
          </cell>
          <cell r="G34">
            <v>56.488244546548472</v>
          </cell>
          <cell r="H34">
            <v>56.488244546548472</v>
          </cell>
          <cell r="I34">
            <v>56.488244546548472</v>
          </cell>
          <cell r="J34">
            <v>56.488244546548472</v>
          </cell>
          <cell r="K34">
            <v>56.488244546548472</v>
          </cell>
          <cell r="L34">
            <v>56.483966253875366</v>
          </cell>
          <cell r="M34">
            <v>56.483407075350883</v>
          </cell>
          <cell r="N34">
            <v>56.457812687535487</v>
          </cell>
          <cell r="O34">
            <v>56.372353908852197</v>
          </cell>
          <cell r="P34">
            <v>56.481338225586306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8">
          <cell r="B8">
            <v>12141.748476159441</v>
          </cell>
          <cell r="C8">
            <v>34750.89869098374</v>
          </cell>
          <cell r="E8">
            <v>12757.909371818199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12025.262465042153</v>
          </cell>
          <cell r="O8">
            <v>23978.120096778781</v>
          </cell>
          <cell r="P8">
            <v>0</v>
          </cell>
          <cell r="Q8">
            <v>12482.523340881857</v>
          </cell>
        </row>
        <row r="9">
          <cell r="B9">
            <v>1493.1150761089202</v>
          </cell>
          <cell r="C9">
            <v>9478.533903872054</v>
          </cell>
          <cell r="E9">
            <v>1710.739479077356</v>
          </cell>
          <cell r="F9">
            <v>3396.4220443713425</v>
          </cell>
          <cell r="G9">
            <v>4662.2081959829256</v>
          </cell>
          <cell r="H9">
            <v>8434.7473145115619</v>
          </cell>
          <cell r="I9">
            <v>4139.7815104576048</v>
          </cell>
          <cell r="J9">
            <v>63938.271373770483</v>
          </cell>
          <cell r="K9">
            <v>104587.15812026567</v>
          </cell>
          <cell r="L9">
            <v>158785.67378225925</v>
          </cell>
          <cell r="M9">
            <v>101877.232337166</v>
          </cell>
          <cell r="N9">
            <v>1535.7212235786519</v>
          </cell>
          <cell r="O9">
            <v>9983.9719329120835</v>
          </cell>
          <cell r="P9">
            <v>94349.56243893881</v>
          </cell>
          <cell r="Q9">
            <v>1898.0637423509229</v>
          </cell>
        </row>
        <row r="10">
          <cell r="B10">
            <v>458.81454599548113</v>
          </cell>
          <cell r="C10">
            <v>939.3830102866084</v>
          </cell>
          <cell r="E10">
            <v>471.91134497153553</v>
          </cell>
          <cell r="F10">
            <v>1028.0573267477946</v>
          </cell>
          <cell r="G10">
            <v>1050.2259058630916</v>
          </cell>
          <cell r="H10">
            <v>1050.2259058630914</v>
          </cell>
          <cell r="I10">
            <v>1040.5347237361857</v>
          </cell>
          <cell r="J10">
            <v>1050.2259058630914</v>
          </cell>
          <cell r="K10">
            <v>1050.2259058630914</v>
          </cell>
          <cell r="L10">
            <v>1050.2259058630914</v>
          </cell>
          <cell r="M10">
            <v>1050.2259058630916</v>
          </cell>
          <cell r="N10">
            <v>464.28468584953089</v>
          </cell>
          <cell r="O10">
            <v>973.74430791531779</v>
          </cell>
          <cell r="P10">
            <v>1050.2259058630914</v>
          </cell>
          <cell r="Q10">
            <v>484.1987481210416</v>
          </cell>
        </row>
        <row r="29">
          <cell r="B29">
            <v>148.73806370720951</v>
          </cell>
          <cell r="C29">
            <v>148.82215016207113</v>
          </cell>
          <cell r="E29">
            <v>148.74035529202578</v>
          </cell>
          <cell r="F29">
            <v>51.284941211622503</v>
          </cell>
          <cell r="G29">
            <v>51.802088812642978</v>
          </cell>
          <cell r="H29">
            <v>51.373757086725199</v>
          </cell>
          <cell r="I29">
            <v>51.572502442858749</v>
          </cell>
          <cell r="J29">
            <v>961.74155661828036</v>
          </cell>
          <cell r="K29">
            <v>1025.9763068088528</v>
          </cell>
          <cell r="L29">
            <v>1130.3577758685328</v>
          </cell>
          <cell r="M29">
            <v>1024.6916118050412</v>
          </cell>
          <cell r="N29">
            <v>147.6455968421723</v>
          </cell>
          <cell r="O29">
            <v>155.14211876535961</v>
          </cell>
          <cell r="P29">
            <v>278.82223747717597</v>
          </cell>
          <cell r="Q29">
            <v>147.98598559289968</v>
          </cell>
        </row>
        <row r="30">
          <cell r="B30">
            <v>-3.0284021924274875</v>
          </cell>
          <cell r="C30">
            <v>-3.0284021924274875</v>
          </cell>
          <cell r="E30">
            <v>-3.0284021924274875</v>
          </cell>
          <cell r="F30">
            <v>-3.0284021924274875</v>
          </cell>
          <cell r="G30">
            <v>-3.0284021924274875</v>
          </cell>
          <cell r="H30">
            <v>-3.0284021924274875</v>
          </cell>
          <cell r="I30">
            <v>-3.0284021924274875</v>
          </cell>
          <cell r="J30">
            <v>-3.0284021924274875</v>
          </cell>
          <cell r="K30">
            <v>-3.0284021924274875</v>
          </cell>
          <cell r="L30">
            <v>-3.0284021924274875</v>
          </cell>
          <cell r="M30">
            <v>-3.0284021924274875</v>
          </cell>
          <cell r="N30">
            <v>-3.0284021924274875</v>
          </cell>
          <cell r="O30">
            <v>-3.0284021924274875</v>
          </cell>
          <cell r="P30">
            <v>-3.0284021924274875</v>
          </cell>
          <cell r="Q30">
            <v>-3.0284021924274875</v>
          </cell>
        </row>
        <row r="33">
          <cell r="B33">
            <v>481.55031066335579</v>
          </cell>
          <cell r="C33">
            <v>481.55031066335573</v>
          </cell>
          <cell r="E33">
            <v>481.55031066335573</v>
          </cell>
          <cell r="F33">
            <v>481.55031066335567</v>
          </cell>
          <cell r="G33">
            <v>481.55031066335573</v>
          </cell>
          <cell r="H33">
            <v>481.55031066335573</v>
          </cell>
          <cell r="I33">
            <v>481.55031066335567</v>
          </cell>
          <cell r="J33">
            <v>481.55031066335573</v>
          </cell>
          <cell r="K33">
            <v>481.55031066335573</v>
          </cell>
          <cell r="L33">
            <v>481.55031066335573</v>
          </cell>
          <cell r="M33">
            <v>481.55031066335573</v>
          </cell>
          <cell r="N33">
            <v>481.55031066335579</v>
          </cell>
          <cell r="O33">
            <v>481.55031066335567</v>
          </cell>
          <cell r="P33">
            <v>481.55031066335573</v>
          </cell>
          <cell r="Q33">
            <v>481.55031066335567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>
        <row r="8">
          <cell r="B8">
            <v>1366.5375951742012</v>
          </cell>
          <cell r="C8">
            <v>10422.131888440388</v>
          </cell>
          <cell r="D8">
            <v>3848.7817161710232</v>
          </cell>
          <cell r="E8">
            <v>0</v>
          </cell>
          <cell r="F8">
            <v>0</v>
          </cell>
          <cell r="G8">
            <v>0</v>
          </cell>
          <cell r="H8">
            <v>1366.0599518343993</v>
          </cell>
          <cell r="I8">
            <v>10186.337049335398</v>
          </cell>
          <cell r="J8">
            <v>3823.5501668466545</v>
          </cell>
        </row>
        <row r="9">
          <cell r="B9">
            <v>389.14672751376281</v>
          </cell>
          <cell r="C9">
            <v>1526.012824075797</v>
          </cell>
          <cell r="D9">
            <v>700.77499763736591</v>
          </cell>
          <cell r="E9">
            <v>3396.4220443713425</v>
          </cell>
          <cell r="F9">
            <v>4404.0870983993873</v>
          </cell>
          <cell r="G9">
            <v>4365.330750167539</v>
          </cell>
          <cell r="H9">
            <v>390.19785485275531</v>
          </cell>
          <cell r="I9">
            <v>1591.1276266623036</v>
          </cell>
          <cell r="J9">
            <v>724.79881245475997</v>
          </cell>
        </row>
        <row r="10">
          <cell r="B10">
            <v>286.14303694833995</v>
          </cell>
          <cell r="C10">
            <v>486.04328917645608</v>
          </cell>
          <cell r="D10">
            <v>340.93802994487936</v>
          </cell>
          <cell r="E10">
            <v>939.38301028660817</v>
          </cell>
          <cell r="F10">
            <v>1050.2259058630916</v>
          </cell>
          <cell r="G10">
            <v>1045.9627175716885</v>
          </cell>
          <cell r="H10">
            <v>286.37136269924463</v>
          </cell>
          <cell r="I10">
            <v>498.80760177117634</v>
          </cell>
          <cell r="J10">
            <v>345.5599769641172</v>
          </cell>
        </row>
        <row r="29">
          <cell r="B29">
            <v>39.974565600297041</v>
          </cell>
          <cell r="C29">
            <v>71.759518172995357</v>
          </cell>
          <cell r="D29">
            <v>48.687192193828558</v>
          </cell>
          <cell r="E29">
            <v>53.770018838134376</v>
          </cell>
          <cell r="F29">
            <v>53.876069091137012</v>
          </cell>
          <cell r="G29">
            <v>53.871990235252291</v>
          </cell>
          <cell r="H29">
            <v>39.933735848360378</v>
          </cell>
          <cell r="I29">
            <v>71.473113780671525</v>
          </cell>
          <cell r="J29">
            <v>48.721182296974554</v>
          </cell>
        </row>
        <row r="30">
          <cell r="B30">
            <v>-3.0284021924274875</v>
          </cell>
          <cell r="C30">
            <v>-3.0284021924274875</v>
          </cell>
          <cell r="D30">
            <v>-3.0284021924274875</v>
          </cell>
          <cell r="E30">
            <v>-3.0284021924274875</v>
          </cell>
          <cell r="F30">
            <v>-3.0284021924274875</v>
          </cell>
          <cell r="G30">
            <v>-3.0284021924274875</v>
          </cell>
          <cell r="H30">
            <v>-3.0284021924274875</v>
          </cell>
          <cell r="I30">
            <v>-3.0284021924274875</v>
          </cell>
          <cell r="J30">
            <v>-3.0284021924274875</v>
          </cell>
        </row>
        <row r="33">
          <cell r="B33">
            <v>160.05279683391606</v>
          </cell>
          <cell r="C33">
            <v>160.05279683391601</v>
          </cell>
          <cell r="D33">
            <v>160.05279683391601</v>
          </cell>
          <cell r="E33">
            <v>160.05279683391606</v>
          </cell>
          <cell r="F33">
            <v>160.05279683391606</v>
          </cell>
          <cell r="G33">
            <v>160.05279683391606</v>
          </cell>
          <cell r="H33">
            <v>160.05279683391606</v>
          </cell>
          <cell r="I33">
            <v>160.05279683391606</v>
          </cell>
          <cell r="J33">
            <v>160.05279683391606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8">
          <cell r="B8">
            <v>35.14957239012459</v>
          </cell>
        </row>
        <row r="9">
          <cell r="B9">
            <v>46.972334953224312</v>
          </cell>
        </row>
        <row r="10">
          <cell r="B10">
            <v>0</v>
          </cell>
        </row>
        <row r="29">
          <cell r="B29">
            <v>161261.08333333334</v>
          </cell>
        </row>
        <row r="30">
          <cell r="B30">
            <v>5281</v>
          </cell>
        </row>
        <row r="34">
          <cell r="B34">
            <v>0.18642986720362764</v>
          </cell>
        </row>
        <row r="35">
          <cell r="B35">
            <v>-9.9174528954089847E-2</v>
          </cell>
        </row>
        <row r="38">
          <cell r="B38">
            <v>1.1316978447365378</v>
          </cell>
        </row>
      </sheetData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topLeftCell="A24" zoomScale="115" zoomScaleNormal="115" workbookViewId="0">
      <selection activeCell="A44" sqref="A44"/>
    </sheetView>
  </sheetViews>
  <sheetFormatPr defaultColWidth="9.1796875" defaultRowHeight="12.5"/>
  <cols>
    <col min="1" max="1" width="55.7265625" style="1" customWidth="1"/>
    <col min="2" max="10" width="12.7265625" style="1" customWidth="1"/>
    <col min="11" max="11" width="12.54296875" style="1" customWidth="1"/>
    <col min="12" max="12" width="12.7265625" style="1" customWidth="1"/>
    <col min="13" max="16384" width="9.1796875" style="1"/>
  </cols>
  <sheetData>
    <row r="1" spans="1:12" ht="18.5" thickBot="1">
      <c r="A1" s="388" t="s">
        <v>89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13">
      <c r="A2" s="350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2"/>
    </row>
    <row r="3" spans="1:12" ht="13.5" thickBot="1">
      <c r="A3" s="5" t="s">
        <v>0</v>
      </c>
      <c r="B3" s="6" t="s">
        <v>1</v>
      </c>
      <c r="C3" s="211" t="s">
        <v>4</v>
      </c>
      <c r="D3" s="211" t="s">
        <v>5</v>
      </c>
      <c r="E3" s="211" t="s">
        <v>6</v>
      </c>
      <c r="F3" s="211" t="s">
        <v>7</v>
      </c>
      <c r="G3" s="211" t="s">
        <v>2</v>
      </c>
      <c r="H3" s="211" t="s">
        <v>102</v>
      </c>
      <c r="I3" s="211" t="s">
        <v>3</v>
      </c>
      <c r="J3" s="211" t="s">
        <v>69</v>
      </c>
      <c r="K3" s="211" t="s">
        <v>23</v>
      </c>
      <c r="L3" s="7" t="s">
        <v>8</v>
      </c>
    </row>
    <row r="4" spans="1:12" ht="13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 ht="13">
      <c r="A6" s="11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5"/>
    </row>
    <row r="7" spans="1:12" ht="13">
      <c r="A7" s="32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12" ht="13">
      <c r="A8" s="11" t="s">
        <v>14</v>
      </c>
      <c r="B8" s="216">
        <f>'[6]Resid Cust Cost Summary'!B8</f>
        <v>677.89881841095337</v>
      </c>
      <c r="C8" s="216">
        <f>'[6]Resid Cust Cost Summary'!C8</f>
        <v>533.55413979815535</v>
      </c>
      <c r="D8" s="216">
        <f>'[6]Resid Cust Cost Summary'!D8</f>
        <v>1025.4600101953902</v>
      </c>
      <c r="E8" s="216">
        <f>'[6]Resid Cust Cost Summary'!E8</f>
        <v>1051.1390835340403</v>
      </c>
      <c r="F8" s="216">
        <f>'[6]Resid Cust Cost Summary'!F8</f>
        <v>1594.3673790544228</v>
      </c>
      <c r="G8" s="216">
        <f>'[6]Resid Cust Cost Summary'!G8</f>
        <v>802.6089023214588</v>
      </c>
      <c r="H8" s="216">
        <f>'[6]Resid Cust Cost Summary'!H8</f>
        <v>765.21676347109837</v>
      </c>
      <c r="I8" s="216">
        <f>'[6]Resid Cust Cost Summary'!I8</f>
        <v>899.89088734158736</v>
      </c>
      <c r="J8" s="216">
        <f>'[6]Resid Cust Cost Summary'!J8</f>
        <v>781.41418630910903</v>
      </c>
      <c r="K8" s="216">
        <f>'[6]Resid Cust Cost Summary'!K8</f>
        <v>950.80620900407246</v>
      </c>
      <c r="L8" s="217">
        <f>'[6]Resid Cust Cost Summary'!L8</f>
        <v>680.52185247371688</v>
      </c>
    </row>
    <row r="9" spans="1:12" ht="13">
      <c r="A9" s="11" t="s">
        <v>15</v>
      </c>
      <c r="B9" s="216">
        <f>'[6]Resid Cust Cost Summary'!B9</f>
        <v>166.40911596430101</v>
      </c>
      <c r="C9" s="216">
        <f>'[6]Resid Cust Cost Summary'!C9</f>
        <v>178.73403805557686</v>
      </c>
      <c r="D9" s="216">
        <f>'[6]Resid Cust Cost Summary'!D9</f>
        <v>425.89309357506113</v>
      </c>
      <c r="E9" s="216">
        <f>'[6]Resid Cust Cost Summary'!E9</f>
        <v>1552.5146751059192</v>
      </c>
      <c r="F9" s="216">
        <f>'[6]Resid Cust Cost Summary'!F9</f>
        <v>940.49596833084468</v>
      </c>
      <c r="G9" s="216">
        <f>'[6]Resid Cust Cost Summary'!G9</f>
        <v>192.29342772725278</v>
      </c>
      <c r="H9" s="216">
        <f>'[6]Resid Cust Cost Summary'!H9</f>
        <v>177.10507160030599</v>
      </c>
      <c r="I9" s="216">
        <f>'[6]Resid Cust Cost Summary'!I9</f>
        <v>207.60578350691929</v>
      </c>
      <c r="J9" s="216">
        <f>'[6]Resid Cust Cost Summary'!J9</f>
        <v>172.04023268816647</v>
      </c>
      <c r="K9" s="216">
        <f>'[6]Resid Cust Cost Summary'!K9</f>
        <v>211.72561971802705</v>
      </c>
      <c r="L9" s="217">
        <f>'[6]Resid Cust Cost Summary'!L9</f>
        <v>167.42004632282004</v>
      </c>
    </row>
    <row r="10" spans="1:12" ht="13">
      <c r="A10" s="11" t="s">
        <v>16</v>
      </c>
      <c r="B10" s="216">
        <f>'[6]Resid Cust Cost Summary'!B10</f>
        <v>267.4336014108722</v>
      </c>
      <c r="C10" s="216">
        <f>'[6]Resid Cust Cost Summary'!C10</f>
        <v>268.99845283809219</v>
      </c>
      <c r="D10" s="216">
        <f>'[6]Resid Cust Cost Summary'!D10</f>
        <v>289.50698692219817</v>
      </c>
      <c r="E10" s="216">
        <f>'[6]Resid Cust Cost Summary'!E10</f>
        <v>401.86826582299057</v>
      </c>
      <c r="F10" s="216">
        <f>'[6]Resid Cust Cost Summary'!F10</f>
        <v>289.12340175821606</v>
      </c>
      <c r="G10" s="216">
        <f>'[6]Resid Cust Cost Summary'!G10</f>
        <v>267.20949310143351</v>
      </c>
      <c r="H10" s="216">
        <f>'[6]Resid Cust Cost Summary'!H10</f>
        <v>267.48394541896687</v>
      </c>
      <c r="I10" s="216">
        <f>'[6]Resid Cust Cost Summary'!I10</f>
        <v>267.48056759704741</v>
      </c>
      <c r="J10" s="216">
        <f>'[6]Resid Cust Cost Summary'!J10</f>
        <v>269.46022134816189</v>
      </c>
      <c r="K10" s="216">
        <f>'[6]Resid Cust Cost Summary'!K10</f>
        <v>267.35945089970352</v>
      </c>
      <c r="L10" s="217">
        <f>'[6]Resid Cust Cost Summary'!L10</f>
        <v>267.484978001873</v>
      </c>
    </row>
    <row r="11" spans="1:12" ht="13">
      <c r="A11" s="11" t="s">
        <v>83</v>
      </c>
      <c r="B11" s="371">
        <f>'[5]Resid Cust Cost Summary'!B10</f>
        <v>212.41896233462634</v>
      </c>
      <c r="C11" s="371">
        <f>'[5]Resid Cust Cost Summary'!C10</f>
        <v>213.93723840146316</v>
      </c>
      <c r="D11" s="371">
        <f>'[5]Resid Cust Cost Summary'!D10</f>
        <v>233.79873566390501</v>
      </c>
      <c r="E11" s="371">
        <f>'[5]Resid Cust Cost Summary'!E10</f>
        <v>332.57085927715195</v>
      </c>
      <c r="F11" s="371">
        <f>'[5]Resid Cust Cost Summary'!F10</f>
        <v>233.85167382870014</v>
      </c>
      <c r="G11" s="371">
        <f>'[5]Resid Cust Cost Summary'!G10</f>
        <v>212.1975103773606</v>
      </c>
      <c r="H11" s="371">
        <f>'[5]Resid Cust Cost Summary'!H10</f>
        <v>212.46870961600607</v>
      </c>
      <c r="I11" s="371">
        <f>'[5]Resid Cust Cost Summary'!I10</f>
        <v>212.46537183135524</v>
      </c>
      <c r="J11" s="371">
        <f>'[5]Resid Cust Cost Summary'!J10</f>
        <v>214.42156077852528</v>
      </c>
      <c r="K11" s="371">
        <f>'[5]Resid Cust Cost Summary'!K10</f>
        <v>212.34569072826923</v>
      </c>
      <c r="L11" s="240">
        <f>'[5]Resid Cust Cost Summary'!L10</f>
        <v>212.46560457852493</v>
      </c>
    </row>
    <row r="12" spans="1:12" ht="13">
      <c r="A12" s="20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4"/>
    </row>
    <row r="13" spans="1:12" ht="13">
      <c r="A13" s="11" t="s">
        <v>17</v>
      </c>
      <c r="B13" s="33">
        <f t="shared" ref="B13:L13" si="0">SUM(B8:B10)</f>
        <v>1111.7415357861266</v>
      </c>
      <c r="C13" s="33">
        <f t="shared" si="0"/>
        <v>981.28663069182448</v>
      </c>
      <c r="D13" s="33">
        <f t="shared" si="0"/>
        <v>1740.8600906926495</v>
      </c>
      <c r="E13" s="33">
        <f t="shared" si="0"/>
        <v>3005.52202446295</v>
      </c>
      <c r="F13" s="33">
        <f t="shared" si="0"/>
        <v>2823.9867491434834</v>
      </c>
      <c r="G13" s="33">
        <f t="shared" si="0"/>
        <v>1262.111823150145</v>
      </c>
      <c r="H13" s="33">
        <f t="shared" ref="H13" si="1">SUM(H8:H10)</f>
        <v>1209.8057804903713</v>
      </c>
      <c r="I13" s="33">
        <f t="shared" si="0"/>
        <v>1374.9772384455541</v>
      </c>
      <c r="J13" s="33">
        <f t="shared" si="0"/>
        <v>1222.9146403454374</v>
      </c>
      <c r="K13" s="33">
        <f t="shared" si="0"/>
        <v>1429.8912796218031</v>
      </c>
      <c r="L13" s="34">
        <f t="shared" si="0"/>
        <v>1115.4268767984099</v>
      </c>
    </row>
    <row r="14" spans="1:12" ht="13">
      <c r="A14" s="11" t="s">
        <v>82</v>
      </c>
      <c r="B14" s="33">
        <f>B8+B9+B11</f>
        <v>1056.7268967098807</v>
      </c>
      <c r="C14" s="33">
        <f t="shared" ref="C14:L14" si="2">C8+C9+C11</f>
        <v>926.22541625519534</v>
      </c>
      <c r="D14" s="33">
        <f t="shared" si="2"/>
        <v>1685.1518394343564</v>
      </c>
      <c r="E14" s="33">
        <f t="shared" si="2"/>
        <v>2936.2246179171116</v>
      </c>
      <c r="F14" s="33">
        <f t="shared" si="2"/>
        <v>2768.7150212139677</v>
      </c>
      <c r="G14" s="33">
        <f t="shared" si="2"/>
        <v>1207.0998404260722</v>
      </c>
      <c r="H14" s="33">
        <f t="shared" ref="H14" si="3">H8+H9+H11</f>
        <v>1154.7905446874104</v>
      </c>
      <c r="I14" s="33">
        <f t="shared" si="2"/>
        <v>1319.962042679862</v>
      </c>
      <c r="J14" s="33">
        <f t="shared" si="2"/>
        <v>1167.8759797758007</v>
      </c>
      <c r="K14" s="33">
        <f t="shared" si="2"/>
        <v>1374.8775194503687</v>
      </c>
      <c r="L14" s="34">
        <f t="shared" si="2"/>
        <v>1060.4075033750619</v>
      </c>
    </row>
    <row r="15" spans="1:12" ht="13">
      <c r="A15" s="20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 ht="13">
      <c r="A16" s="47" t="s">
        <v>25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</row>
    <row r="17" spans="1:12" ht="13">
      <c r="A17" s="35">
        <f>Input!B3</f>
        <v>2.7723662892949787E-2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</row>
    <row r="18" spans="1:12" ht="13">
      <c r="A18" s="47" t="s">
        <v>26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spans="1:12" ht="13">
      <c r="A19" s="35">
        <f>Input!B4</f>
        <v>1.5023E-2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</row>
    <row r="20" spans="1:12" ht="13">
      <c r="A20" s="11" t="s">
        <v>18</v>
      </c>
      <c r="B20" s="33">
        <f t="shared" ref="B20:L20" si="4">(B8*(1+$A$17)*(1+$A$19))</f>
        <v>707.15907051013403</v>
      </c>
      <c r="C20" s="33">
        <f t="shared" si="4"/>
        <v>556.58402009157589</v>
      </c>
      <c r="D20" s="33">
        <f t="shared" si="4"/>
        <v>1069.7221000545817</v>
      </c>
      <c r="E20" s="33">
        <f t="shared" si="4"/>
        <v>1096.5095632283458</v>
      </c>
      <c r="F20" s="33">
        <f t="shared" si="4"/>
        <v>1663.1853061297306</v>
      </c>
      <c r="G20" s="33">
        <f t="shared" si="4"/>
        <v>837.25203516246609</v>
      </c>
      <c r="H20" s="33">
        <f t="shared" ref="H20" si="5">(H8*(1+$A$17)*(1+$A$19))</f>
        <v>798.24593360915571</v>
      </c>
      <c r="I20" s="33">
        <f t="shared" si="4"/>
        <v>938.73301762747894</v>
      </c>
      <c r="J20" s="33">
        <f t="shared" si="4"/>
        <v>815.14248832750832</v>
      </c>
      <c r="K20" s="33">
        <f t="shared" si="4"/>
        <v>991.84600523522613</v>
      </c>
      <c r="L20" s="34">
        <f t="shared" si="4"/>
        <v>709.89532299997938</v>
      </c>
    </row>
    <row r="21" spans="1:12" ht="13">
      <c r="A21" s="11" t="s">
        <v>19</v>
      </c>
      <c r="B21" s="33">
        <f t="shared" ref="B21:L21" si="6">(B9*(1+$A$17)*(1+$A$19))</f>
        <v>173.59185851005577</v>
      </c>
      <c r="C21" s="33">
        <f t="shared" si="6"/>
        <v>186.44876312984351</v>
      </c>
      <c r="D21" s="33">
        <f t="shared" si="6"/>
        <v>444.27598339115121</v>
      </c>
      <c r="E21" s="33">
        <f t="shared" si="6"/>
        <v>1619.5261074134144</v>
      </c>
      <c r="F21" s="33">
        <f t="shared" si="6"/>
        <v>981.09074204077751</v>
      </c>
      <c r="G21" s="33">
        <f t="shared" si="6"/>
        <v>200.59341884613991</v>
      </c>
      <c r="H21" s="33">
        <f t="shared" ref="H21" si="7">(H9*(1+$A$17)*(1+$A$19))</f>
        <v>184.74948534219112</v>
      </c>
      <c r="I21" s="33">
        <f t="shared" si="6"/>
        <v>216.56670421909828</v>
      </c>
      <c r="J21" s="33">
        <f t="shared" si="6"/>
        <v>179.46603200060278</v>
      </c>
      <c r="K21" s="33">
        <f t="shared" si="6"/>
        <v>220.86436556114063</v>
      </c>
      <c r="L21" s="34">
        <f t="shared" si="6"/>
        <v>174.64642381281959</v>
      </c>
    </row>
    <row r="22" spans="1:12" ht="13">
      <c r="A22" s="11" t="s">
        <v>16</v>
      </c>
      <c r="B22" s="33">
        <f t="shared" ref="B22:L23" si="8">(B10*(1+$A$17)*(1+$A$19))</f>
        <v>278.97687952930397</v>
      </c>
      <c r="C22" s="33">
        <f t="shared" si="8"/>
        <v>280.60927488198109</v>
      </c>
      <c r="D22" s="33">
        <f t="shared" si="8"/>
        <v>302.0030220114383</v>
      </c>
      <c r="E22" s="33">
        <f t="shared" si="8"/>
        <v>419.21416826342357</v>
      </c>
      <c r="F22" s="33">
        <f t="shared" si="8"/>
        <v>301.60288010138322</v>
      </c>
      <c r="G22" s="33">
        <f t="shared" si="8"/>
        <v>278.74309799806048</v>
      </c>
      <c r="H22" s="33">
        <f t="shared" ref="H22" si="9">(H10*(1+$A$17)*(1+$A$19))</f>
        <v>279.02939654364752</v>
      </c>
      <c r="I22" s="33">
        <f t="shared" si="8"/>
        <v>279.0258729242754</v>
      </c>
      <c r="J22" s="33">
        <f t="shared" si="8"/>
        <v>281.09097477804698</v>
      </c>
      <c r="K22" s="33">
        <f t="shared" si="8"/>
        <v>278.89952844809272</v>
      </c>
      <c r="L22" s="34">
        <f t="shared" si="8"/>
        <v>279.03047369609021</v>
      </c>
    </row>
    <row r="23" spans="1:12" ht="13">
      <c r="A23" s="11" t="s">
        <v>83</v>
      </c>
      <c r="B23" s="33">
        <f t="shared" si="8"/>
        <v>221.58763503290152</v>
      </c>
      <c r="C23" s="33">
        <f t="shared" si="8"/>
        <v>223.17144468567369</v>
      </c>
      <c r="D23" s="33">
        <f t="shared" si="8"/>
        <v>243.89022684253163</v>
      </c>
      <c r="E23" s="33">
        <f t="shared" si="8"/>
        <v>346.92566698444529</v>
      </c>
      <c r="F23" s="33">
        <f t="shared" si="8"/>
        <v>243.94544998556469</v>
      </c>
      <c r="G23" s="33">
        <f t="shared" si="8"/>
        <v>221.35662451037285</v>
      </c>
      <c r="H23" s="33">
        <f t="shared" ref="H23" si="10">(H11*(1+$A$17)*(1+$A$19))</f>
        <v>221.6395295639222</v>
      </c>
      <c r="I23" s="33">
        <f t="shared" si="8"/>
        <v>221.63604770995352</v>
      </c>
      <c r="J23" s="33">
        <f t="shared" si="8"/>
        <v>223.67667194479966</v>
      </c>
      <c r="K23" s="33">
        <f t="shared" si="8"/>
        <v>221.51120079280693</v>
      </c>
      <c r="L23" s="34">
        <f t="shared" si="8"/>
        <v>221.63629050322547</v>
      </c>
    </row>
    <row r="24" spans="1:12" ht="13">
      <c r="A24" s="11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4"/>
    </row>
    <row r="25" spans="1:12" ht="13">
      <c r="A25" s="11" t="s">
        <v>17</v>
      </c>
      <c r="B25" s="33">
        <f>SUM(B20:B22)</f>
        <v>1159.7278085494938</v>
      </c>
      <c r="C25" s="33">
        <f t="shared" ref="C25:K25" si="11">SUM(C20:C22)</f>
        <v>1023.6420581034006</v>
      </c>
      <c r="D25" s="33">
        <f t="shared" si="11"/>
        <v>1816.0011054571712</v>
      </c>
      <c r="E25" s="33">
        <f t="shared" si="11"/>
        <v>3135.2498389051839</v>
      </c>
      <c r="F25" s="33">
        <f t="shared" si="11"/>
        <v>2945.8789282718913</v>
      </c>
      <c r="G25" s="33">
        <f t="shared" si="11"/>
        <v>1316.5885520066663</v>
      </c>
      <c r="H25" s="33">
        <f t="shared" ref="H25" si="12">SUM(H20:H22)</f>
        <v>1262.0248154949945</v>
      </c>
      <c r="I25" s="33">
        <f t="shared" si="11"/>
        <v>1434.3255947708526</v>
      </c>
      <c r="J25" s="33">
        <f t="shared" si="11"/>
        <v>1275.6994951061581</v>
      </c>
      <c r="K25" s="33">
        <f t="shared" si="11"/>
        <v>1491.6098992444595</v>
      </c>
      <c r="L25" s="34">
        <f>SUM(L20:L22)</f>
        <v>1163.5722205088891</v>
      </c>
    </row>
    <row r="26" spans="1:12" ht="13">
      <c r="A26" s="11" t="s">
        <v>82</v>
      </c>
      <c r="B26" s="33">
        <f>B20+B21+B23</f>
        <v>1102.3385640530914</v>
      </c>
      <c r="C26" s="33">
        <f t="shared" ref="C26:L26" si="13">C20+C21+C23</f>
        <v>966.20422790709313</v>
      </c>
      <c r="D26" s="33">
        <f t="shared" si="13"/>
        <v>1757.8883102882644</v>
      </c>
      <c r="E26" s="33">
        <f t="shared" si="13"/>
        <v>3062.9613376262055</v>
      </c>
      <c r="F26" s="33">
        <f t="shared" si="13"/>
        <v>2888.2214981560728</v>
      </c>
      <c r="G26" s="33">
        <f t="shared" si="13"/>
        <v>1259.2020785189789</v>
      </c>
      <c r="H26" s="33">
        <f t="shared" ref="H26" si="14">H20+H21+H23</f>
        <v>1204.6349485152691</v>
      </c>
      <c r="I26" s="33">
        <f t="shared" si="13"/>
        <v>1376.9357695565309</v>
      </c>
      <c r="J26" s="33">
        <f t="shared" si="13"/>
        <v>1218.2851922729108</v>
      </c>
      <c r="K26" s="33">
        <f t="shared" si="13"/>
        <v>1434.2215715891737</v>
      </c>
      <c r="L26" s="34">
        <f t="shared" si="13"/>
        <v>1106.1780373160243</v>
      </c>
    </row>
    <row r="27" spans="1:12" ht="13">
      <c r="A27" s="1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4"/>
    </row>
    <row r="28" spans="1:12" ht="13">
      <c r="A28" s="21" t="s">
        <v>20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4"/>
    </row>
    <row r="29" spans="1:12" ht="13">
      <c r="A29" s="21" t="s">
        <v>128</v>
      </c>
      <c r="B29" s="33">
        <f>B20*Input!$B$8</f>
        <v>875.18301745537292</v>
      </c>
      <c r="C29" s="33">
        <f>C20*Input!$B$8</f>
        <v>688.83070653366758</v>
      </c>
      <c r="D29" s="33">
        <f>D20*Input!$B$8</f>
        <v>1323.8925362141003</v>
      </c>
      <c r="E29" s="33">
        <f>E20*Input!$B$8</f>
        <v>1357.0448124529917</v>
      </c>
      <c r="F29" s="33">
        <f>F20*Input!$B$8</f>
        <v>2058.3650772605006</v>
      </c>
      <c r="G29" s="33">
        <f>G20*Input!$B$8</f>
        <v>1036.1866135373828</v>
      </c>
      <c r="H29" s="33">
        <f>H20*Input!$B$8</f>
        <v>987.91249943746664</v>
      </c>
      <c r="I29" s="33">
        <f>I20*Input!$B$8</f>
        <v>1161.7799010334993</v>
      </c>
      <c r="J29" s="33">
        <f>J20*Input!$B$8</f>
        <v>1008.8237460857491</v>
      </c>
      <c r="K29" s="33">
        <f>K20*Input!$B$8</f>
        <v>1227.5127561987247</v>
      </c>
      <c r="L29" s="34">
        <f>L20*Input!$B$8</f>
        <v>878.5694149583494</v>
      </c>
    </row>
    <row r="30" spans="1:12" ht="13">
      <c r="A30" s="21" t="s">
        <v>129</v>
      </c>
      <c r="B30" s="33">
        <f>B21*Input!$B$9</f>
        <v>213.99418683745685</v>
      </c>
      <c r="C30" s="33">
        <f>C21*Input!$B$9</f>
        <v>229.8434488533874</v>
      </c>
      <c r="D30" s="33">
        <f>D21*Input!$B$9</f>
        <v>547.67820687681365</v>
      </c>
      <c r="E30" s="33">
        <f>E21*Input!$B$9</f>
        <v>1996.4598305046054</v>
      </c>
      <c r="F30" s="33">
        <f>F21*Input!$B$9</f>
        <v>1209.4329616536222</v>
      </c>
      <c r="G30" s="33">
        <f>G21*Input!$B$9</f>
        <v>247.28017730415914</v>
      </c>
      <c r="H30" s="33">
        <f>H21*Input!$B$9</f>
        <v>227.74867567968721</v>
      </c>
      <c r="I30" s="33">
        <f>I21*Input!$B$9</f>
        <v>266.97113656830493</v>
      </c>
      <c r="J30" s="33">
        <f>J21*Input!$B$9</f>
        <v>221.23553438820579</v>
      </c>
      <c r="K30" s="33">
        <f>K21*Input!$B$9</f>
        <v>272.26904945481198</v>
      </c>
      <c r="L30" s="34">
        <f>L21*Input!$B$9</f>
        <v>215.29419506577401</v>
      </c>
    </row>
    <row r="31" spans="1:12" ht="13">
      <c r="A31" s="21" t="s">
        <v>138</v>
      </c>
      <c r="B31" s="33">
        <f>B22*Input!$B$13</f>
        <v>300.39012711148058</v>
      </c>
      <c r="C31" s="33">
        <f>C22*Input!$B$13</f>
        <v>302.14781917655137</v>
      </c>
      <c r="D31" s="33">
        <f>D22*Input!$B$13</f>
        <v>325.18367229259246</v>
      </c>
      <c r="E31" s="33">
        <f>E22*Input!$B$13</f>
        <v>451.39151855182985</v>
      </c>
      <c r="F31" s="33">
        <f>F22*Input!$B$13</f>
        <v>324.7528169492146</v>
      </c>
      <c r="G31" s="33">
        <f>G22*Input!$B$13</f>
        <v>300.13840136271949</v>
      </c>
      <c r="H31" s="33">
        <f>H22*Input!$B$13</f>
        <v>300.44667514026634</v>
      </c>
      <c r="I31" s="33">
        <f>I22*Input!$B$13</f>
        <v>300.44288106072514</v>
      </c>
      <c r="J31" s="33">
        <f>J22*Input!$B$13</f>
        <v>302.66649259942773</v>
      </c>
      <c r="K31" s="33">
        <f>K22*Input!$B$13</f>
        <v>300.30683884344757</v>
      </c>
      <c r="L31" s="34">
        <f>L22*Input!$B$13</f>
        <v>300.4478349710011</v>
      </c>
    </row>
    <row r="32" spans="1:12" ht="13">
      <c r="A32" s="21" t="s">
        <v>139</v>
      </c>
      <c r="B32" s="33">
        <f>B23*Input!$B$13</f>
        <v>238.59589355996738</v>
      </c>
      <c r="C32" s="33">
        <f>C23*Input!$B$13</f>
        <v>240.3012706640462</v>
      </c>
      <c r="D32" s="33">
        <f>D23*Input!$B$13</f>
        <v>262.61035095842192</v>
      </c>
      <c r="E32" s="33">
        <f>E23*Input!$B$13</f>
        <v>373.55441561868241</v>
      </c>
      <c r="F32" s="33">
        <f>F23*Input!$B$13</f>
        <v>262.66981282846359</v>
      </c>
      <c r="G32" s="33">
        <f>G23*Input!$B$13</f>
        <v>238.3471515124416</v>
      </c>
      <c r="H32" s="33">
        <f>H23*Input!$B$13</f>
        <v>238.65177132588116</v>
      </c>
      <c r="I32" s="33">
        <f>I23*Input!$B$13</f>
        <v>238.64802221750344</v>
      </c>
      <c r="J32" s="33">
        <f>J23*Input!$B$13</f>
        <v>240.84527732454472</v>
      </c>
      <c r="K32" s="33">
        <f>K23*Input!$B$13</f>
        <v>238.51359250643054</v>
      </c>
      <c r="L32" s="34">
        <f>L23*Input!$B$13</f>
        <v>238.64828364670126</v>
      </c>
    </row>
    <row r="33" spans="1:14" ht="13">
      <c r="A33" s="11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</row>
    <row r="34" spans="1:14" ht="13">
      <c r="A34" s="11" t="s">
        <v>17</v>
      </c>
      <c r="B34" s="33">
        <f t="shared" ref="B34:L34" si="15">SUM(B29:B31)</f>
        <v>1389.5673314043104</v>
      </c>
      <c r="C34" s="33">
        <f t="shared" si="15"/>
        <v>1220.8219745636063</v>
      </c>
      <c r="D34" s="33">
        <f t="shared" si="15"/>
        <v>2196.7544153835065</v>
      </c>
      <c r="E34" s="33">
        <f t="shared" si="15"/>
        <v>3804.8961615094267</v>
      </c>
      <c r="F34" s="33">
        <f t="shared" si="15"/>
        <v>3592.5508558633378</v>
      </c>
      <c r="G34" s="33">
        <f t="shared" si="15"/>
        <v>1583.6051922042616</v>
      </c>
      <c r="H34" s="33">
        <f t="shared" ref="H34" si="16">SUM(H29:H31)</f>
        <v>1516.1078502574201</v>
      </c>
      <c r="I34" s="33">
        <f t="shared" si="15"/>
        <v>1729.1939186625293</v>
      </c>
      <c r="J34" s="33">
        <f t="shared" si="15"/>
        <v>1532.7257730733827</v>
      </c>
      <c r="K34" s="33">
        <f t="shared" si="15"/>
        <v>1800.0886444969842</v>
      </c>
      <c r="L34" s="34">
        <f t="shared" si="15"/>
        <v>1394.3114449951245</v>
      </c>
    </row>
    <row r="35" spans="1:14" ht="13">
      <c r="A35" s="11" t="s">
        <v>82</v>
      </c>
      <c r="B35" s="33">
        <f>B29+B30+B32</f>
        <v>1327.7730978527973</v>
      </c>
      <c r="C35" s="33">
        <f t="shared" ref="C35:L35" si="17">C29+C30+C32</f>
        <v>1158.9754260511011</v>
      </c>
      <c r="D35" s="33">
        <f t="shared" si="17"/>
        <v>2134.181094049336</v>
      </c>
      <c r="E35" s="33">
        <f t="shared" si="17"/>
        <v>3727.0590585762793</v>
      </c>
      <c r="F35" s="33">
        <f t="shared" si="17"/>
        <v>3530.4678517425864</v>
      </c>
      <c r="G35" s="33">
        <f t="shared" si="17"/>
        <v>1521.8139423539835</v>
      </c>
      <c r="H35" s="33">
        <f t="shared" ref="H35" si="18">H29+H30+H32</f>
        <v>1454.3129464430349</v>
      </c>
      <c r="I35" s="33">
        <f t="shared" si="17"/>
        <v>1667.3990598193077</v>
      </c>
      <c r="J35" s="33">
        <f t="shared" si="17"/>
        <v>1470.9045577984996</v>
      </c>
      <c r="K35" s="33">
        <f t="shared" si="17"/>
        <v>1738.2953981599671</v>
      </c>
      <c r="L35" s="34">
        <f t="shared" si="17"/>
        <v>1332.5118936708245</v>
      </c>
    </row>
    <row r="36" spans="1:14" ht="13">
      <c r="A36" s="21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7"/>
    </row>
    <row r="37" spans="1:14" ht="13">
      <c r="A37" s="11" t="s">
        <v>118</v>
      </c>
      <c r="B37" s="38">
        <f>'NCO Res Cust Fcst'!B8</f>
        <v>1262148</v>
      </c>
      <c r="C37" s="38">
        <f>'NCO Res Cust Fcst'!C8</f>
        <v>3456</v>
      </c>
      <c r="D37" s="38">
        <f>'NCO Res Cust Fcst'!D8</f>
        <v>233</v>
      </c>
      <c r="E37" s="38">
        <f>'NCO Res Cust Fcst'!E8</f>
        <v>359</v>
      </c>
      <c r="F37" s="38">
        <f>'NCO Res Cust Fcst'!F8</f>
        <v>47</v>
      </c>
      <c r="G37" s="38">
        <f>'NCO Res Cust Fcst'!G8</f>
        <v>969</v>
      </c>
      <c r="H37" s="38">
        <f>'NCO Res Cust Fcst'!H8</f>
        <v>28403</v>
      </c>
      <c r="I37" s="38">
        <f>'NCO Res Cust Fcst'!H8</f>
        <v>28403</v>
      </c>
      <c r="J37" s="38">
        <f>'NCO Res Cust Fcst'!I8</f>
        <v>204</v>
      </c>
      <c r="K37" s="38">
        <f>'NCO Res Cust Fcst'!J8</f>
        <v>16171</v>
      </c>
      <c r="L37" s="39">
        <f>'NCO Res Cust Fcst'!K8</f>
        <v>1311990</v>
      </c>
    </row>
    <row r="38" spans="1:14" ht="13">
      <c r="A38" s="21" t="s">
        <v>84</v>
      </c>
      <c r="B38" s="38">
        <f>'NCO Res Cust Fcst'!B17</f>
        <v>886</v>
      </c>
      <c r="C38" s="38">
        <f>'NCO Res Cust Fcst'!C17</f>
        <v>0</v>
      </c>
      <c r="D38" s="38">
        <f>'NCO Res Cust Fcst'!D17</f>
        <v>0</v>
      </c>
      <c r="E38" s="38">
        <f>'NCO Res Cust Fcst'!E17</f>
        <v>0</v>
      </c>
      <c r="F38" s="38">
        <f>'NCO Res Cust Fcst'!F17</f>
        <v>0</v>
      </c>
      <c r="G38" s="38">
        <f>'NCO Res Cust Fcst'!G17</f>
        <v>0</v>
      </c>
      <c r="H38" s="38">
        <f>'NCO Res Cust Fcst'!H17</f>
        <v>10311</v>
      </c>
      <c r="I38" s="38">
        <f>'NCO Res Cust Fcst'!H17</f>
        <v>10311</v>
      </c>
      <c r="J38" s="38">
        <f>'NCO Res Cust Fcst'!I17</f>
        <v>0</v>
      </c>
      <c r="K38" s="38">
        <f>'NCO Res Cust Fcst'!J17</f>
        <v>2125</v>
      </c>
      <c r="L38" s="39">
        <f>'NCO Res Cust Fcst'!K17</f>
        <v>13322</v>
      </c>
    </row>
    <row r="39" spans="1:14" ht="13">
      <c r="A39" s="21" t="s">
        <v>85</v>
      </c>
      <c r="B39" s="38">
        <f>'NCO Res Cust Fcst'!B19</f>
        <v>18932.219999999998</v>
      </c>
      <c r="C39" s="38">
        <f>'NCO Res Cust Fcst'!C19</f>
        <v>51.839999999999996</v>
      </c>
      <c r="D39" s="38">
        <f>'NCO Res Cust Fcst'!D19</f>
        <v>3.4949999999999997</v>
      </c>
      <c r="E39" s="38">
        <f>'NCO Res Cust Fcst'!E19</f>
        <v>5.3849999999999998</v>
      </c>
      <c r="F39" s="38">
        <f>'NCO Res Cust Fcst'!F19</f>
        <v>0.70499999999999996</v>
      </c>
      <c r="G39" s="38">
        <f>'NCO Res Cust Fcst'!G19</f>
        <v>14.535</v>
      </c>
      <c r="H39" s="38">
        <f>'NCO Res Cust Fcst'!H19</f>
        <v>426.04499999999996</v>
      </c>
      <c r="I39" s="38">
        <f>'NCO Res Cust Fcst'!H19</f>
        <v>426.04499999999996</v>
      </c>
      <c r="J39" s="38">
        <f>'NCO Res Cust Fcst'!I19</f>
        <v>3.06</v>
      </c>
      <c r="K39" s="38">
        <f>'NCO Res Cust Fcst'!J19</f>
        <v>242.565</v>
      </c>
      <c r="L39" s="39">
        <f>'NCO Res Cust Fcst'!K19</f>
        <v>19679.849999999995</v>
      </c>
    </row>
    <row r="40" spans="1:14" ht="13">
      <c r="A40" s="11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7"/>
    </row>
    <row r="41" spans="1:14" ht="13">
      <c r="A41" s="11" t="s">
        <v>119</v>
      </c>
      <c r="B41" s="33">
        <f>(B34*B38+B35*B39)/B37</f>
        <v>20.892042022215225</v>
      </c>
      <c r="C41" s="33">
        <f t="shared" ref="C41:L41" si="19">(C34*C38+C35*C39)/C37</f>
        <v>17.384631390766515</v>
      </c>
      <c r="D41" s="33">
        <f t="shared" si="19"/>
        <v>32.012716410740033</v>
      </c>
      <c r="E41" s="33">
        <f t="shared" si="19"/>
        <v>55.905885878644192</v>
      </c>
      <c r="F41" s="33">
        <f t="shared" si="19"/>
        <v>52.957017776138798</v>
      </c>
      <c r="G41" s="33">
        <f t="shared" si="19"/>
        <v>22.827209135309754</v>
      </c>
      <c r="H41" s="33">
        <f t="shared" ref="H41" si="20">(H34*H38+H35*H39)/H37</f>
        <v>572.19979591140304</v>
      </c>
      <c r="I41" s="33">
        <f t="shared" si="19"/>
        <v>652.75166453438214</v>
      </c>
      <c r="J41" s="33">
        <f t="shared" si="19"/>
        <v>22.063568366977492</v>
      </c>
      <c r="K41" s="33">
        <f t="shared" si="19"/>
        <v>262.620616709589</v>
      </c>
      <c r="L41" s="34">
        <f t="shared" si="19"/>
        <v>34.145573716935964</v>
      </c>
    </row>
    <row r="42" spans="1:14" ht="13">
      <c r="A42" s="11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4"/>
    </row>
    <row r="43" spans="1:14" ht="13">
      <c r="A43" s="40" t="s">
        <v>21</v>
      </c>
      <c r="B43" s="212">
        <f>'[6]Resid Cust Cost Summary'!B30</f>
        <v>8.9544494471416112</v>
      </c>
      <c r="C43" s="212">
        <f>'[6]Resid Cust Cost Summary'!C30</f>
        <v>8.724706333911918</v>
      </c>
      <c r="D43" s="212">
        <f>'[6]Resid Cust Cost Summary'!D30</f>
        <v>25.140429015963075</v>
      </c>
      <c r="E43" s="212">
        <f>'[6]Resid Cust Cost Summary'!E30</f>
        <v>72.398298957883554</v>
      </c>
      <c r="F43" s="212">
        <f>'[6]Resid Cust Cost Summary'!F30</f>
        <v>40.579522047863556</v>
      </c>
      <c r="G43" s="212">
        <f>'[6]Resid Cust Cost Summary'!G30</f>
        <v>10.168503242216142</v>
      </c>
      <c r="H43" s="212">
        <f>'[6]Resid Cust Cost Summary'!H30</f>
        <v>9.7695521825970157</v>
      </c>
      <c r="I43" s="212">
        <f>'[6]Resid Cust Cost Summary'!I30</f>
        <v>11.221189918025162</v>
      </c>
      <c r="J43" s="212">
        <f>'[6]Resid Cust Cost Summary'!J30</f>
        <v>9.9937995104982562</v>
      </c>
      <c r="K43" s="212">
        <f>'[6]Resid Cust Cost Summary'!K30</f>
        <v>11.572909276346989</v>
      </c>
      <c r="L43" s="213">
        <f>'[6]Resid Cust Cost Summary'!L30</f>
        <v>9.0050712252016929</v>
      </c>
      <c r="N43" s="124"/>
    </row>
    <row r="44" spans="1:14" ht="13">
      <c r="A44" s="40" t="s">
        <v>81</v>
      </c>
      <c r="B44" s="212">
        <f>'[6]Resid Cust Cost Summary'!B31</f>
        <v>-3.0284021924274875</v>
      </c>
      <c r="C44" s="212">
        <f>'[6]Resid Cust Cost Summary'!C31</f>
        <v>-3.0284021924274875</v>
      </c>
      <c r="D44" s="212">
        <f>'[6]Resid Cust Cost Summary'!D31</f>
        <v>-3.0284021924274875</v>
      </c>
      <c r="E44" s="212">
        <f>'[6]Resid Cust Cost Summary'!E31</f>
        <v>-3.0284021924274875</v>
      </c>
      <c r="F44" s="212">
        <f>'[6]Resid Cust Cost Summary'!F31</f>
        <v>-3.0284021924274875</v>
      </c>
      <c r="G44" s="212">
        <f>'[6]Resid Cust Cost Summary'!G31</f>
        <v>-3.0284021924274875</v>
      </c>
      <c r="H44" s="212">
        <f>'[6]Resid Cust Cost Summary'!H31</f>
        <v>-3.0284021924274875</v>
      </c>
      <c r="I44" s="212">
        <f>'[6]Resid Cust Cost Summary'!I31</f>
        <v>-3.0284021924274875</v>
      </c>
      <c r="J44" s="212">
        <f>'[6]Resid Cust Cost Summary'!J31</f>
        <v>-3.0284021924274875</v>
      </c>
      <c r="K44" s="212">
        <f>'[6]Resid Cust Cost Summary'!K31</f>
        <v>-3.0284021924274875</v>
      </c>
      <c r="L44" s="213">
        <f>'[6]Resid Cust Cost Summary'!L31</f>
        <v>-3.0284021924274875</v>
      </c>
      <c r="N44" s="368"/>
    </row>
    <row r="45" spans="1:14" ht="13">
      <c r="A45" s="40" t="s">
        <v>22</v>
      </c>
      <c r="B45" s="214">
        <f>'[6]Resid Cust Cost Summary'!B34</f>
        <v>28.478866312568123</v>
      </c>
      <c r="C45" s="214">
        <f>'[6]Resid Cust Cost Summary'!C34</f>
        <v>28.478866312568123</v>
      </c>
      <c r="D45" s="214">
        <f>'[6]Resid Cust Cost Summary'!D34</f>
        <v>28.478866312568123</v>
      </c>
      <c r="E45" s="214">
        <f>'[6]Resid Cust Cost Summary'!E34</f>
        <v>28.478866312568126</v>
      </c>
      <c r="F45" s="214">
        <f>'[6]Resid Cust Cost Summary'!F34</f>
        <v>28.47886631256813</v>
      </c>
      <c r="G45" s="214">
        <f>'[6]Resid Cust Cost Summary'!G34</f>
        <v>28.478866312568126</v>
      </c>
      <c r="H45" s="214">
        <f>'[6]Resid Cust Cost Summary'!H34</f>
        <v>28.478866312568123</v>
      </c>
      <c r="I45" s="214">
        <f>'[6]Resid Cust Cost Summary'!I34</f>
        <v>28.478866312568123</v>
      </c>
      <c r="J45" s="214">
        <f>'[6]Resid Cust Cost Summary'!J34</f>
        <v>28.478866312568119</v>
      </c>
      <c r="K45" s="214">
        <f>'[6]Resid Cust Cost Summary'!K34</f>
        <v>28.478866312568112</v>
      </c>
      <c r="L45" s="215">
        <f>'[6]Resid Cust Cost Summary'!L34</f>
        <v>28.478866312568123</v>
      </c>
    </row>
    <row r="46" spans="1:14" ht="13">
      <c r="A46" s="11" t="s">
        <v>120</v>
      </c>
      <c r="B46" s="33">
        <f>B43+B44+B45</f>
        <v>34.40491356728225</v>
      </c>
      <c r="C46" s="33">
        <f t="shared" ref="C46:L46" si="21">C43+C44+C45</f>
        <v>34.175170454052555</v>
      </c>
      <c r="D46" s="33">
        <f t="shared" si="21"/>
        <v>50.590893136103709</v>
      </c>
      <c r="E46" s="33">
        <f t="shared" si="21"/>
        <v>97.848763078024191</v>
      </c>
      <c r="F46" s="33">
        <f t="shared" si="21"/>
        <v>66.0299861680042</v>
      </c>
      <c r="G46" s="33">
        <f t="shared" si="21"/>
        <v>35.618967362356784</v>
      </c>
      <c r="H46" s="33">
        <f t="shared" si="21"/>
        <v>35.220016302737648</v>
      </c>
      <c r="I46" s="33">
        <f t="shared" si="21"/>
        <v>36.671654038165798</v>
      </c>
      <c r="J46" s="33">
        <f t="shared" si="21"/>
        <v>35.444263630638886</v>
      </c>
      <c r="K46" s="33">
        <f t="shared" si="21"/>
        <v>37.023373396487614</v>
      </c>
      <c r="L46" s="34">
        <f t="shared" si="21"/>
        <v>34.455535345342327</v>
      </c>
    </row>
    <row r="47" spans="1:14" ht="13">
      <c r="A47" s="11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4"/>
    </row>
    <row r="48" spans="1:14" ht="13">
      <c r="A48" s="11" t="s">
        <v>121</v>
      </c>
      <c r="B48" s="33">
        <f t="shared" ref="B48:L48" si="22">B41+B46</f>
        <v>55.296955589497472</v>
      </c>
      <c r="C48" s="33">
        <f t="shared" si="22"/>
        <v>51.55980184481907</v>
      </c>
      <c r="D48" s="33">
        <f t="shared" si="22"/>
        <v>82.603609546843742</v>
      </c>
      <c r="E48" s="33">
        <f t="shared" si="22"/>
        <v>153.75464895666838</v>
      </c>
      <c r="F48" s="33">
        <f t="shared" si="22"/>
        <v>118.987003944143</v>
      </c>
      <c r="G48" s="33">
        <f t="shared" si="22"/>
        <v>58.446176497666542</v>
      </c>
      <c r="H48" s="33">
        <f t="shared" si="22"/>
        <v>607.41981221414073</v>
      </c>
      <c r="I48" s="33">
        <f t="shared" si="22"/>
        <v>689.42331857254794</v>
      </c>
      <c r="J48" s="33">
        <f t="shared" si="22"/>
        <v>57.507831997616378</v>
      </c>
      <c r="K48" s="33">
        <f t="shared" si="22"/>
        <v>299.64399010607661</v>
      </c>
      <c r="L48" s="34">
        <f t="shared" si="22"/>
        <v>68.601109062278283</v>
      </c>
    </row>
    <row r="49" spans="1:12" ht="13" thickBot="1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30"/>
    </row>
    <row r="50" spans="1:12">
      <c r="A50" s="205" t="s">
        <v>131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7"/>
    </row>
    <row r="51" spans="1:12" ht="13" thickBot="1">
      <c r="A51" s="179" t="s">
        <v>130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7"/>
    </row>
    <row r="53" spans="1:12">
      <c r="L53" s="210"/>
    </row>
    <row r="68" spans="1:1">
      <c r="A68" s="31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56"/>
  <sheetViews>
    <sheetView topLeftCell="A2" zoomScaleNormal="100" workbookViewId="0">
      <selection activeCell="B19" sqref="B19"/>
    </sheetView>
  </sheetViews>
  <sheetFormatPr defaultColWidth="9.1796875" defaultRowHeight="12.5"/>
  <cols>
    <col min="1" max="1" width="50.7265625" style="1" customWidth="1"/>
    <col min="2" max="2" width="40.7265625" style="1" customWidth="1"/>
    <col min="3" max="16384" width="9.1796875" style="1"/>
  </cols>
  <sheetData>
    <row r="1" spans="1:3" ht="18.5" thickBot="1">
      <c r="A1" s="388" t="s">
        <v>97</v>
      </c>
      <c r="B1" s="388"/>
    </row>
    <row r="2" spans="1:3" ht="13">
      <c r="A2" s="2"/>
      <c r="B2" s="4"/>
    </row>
    <row r="3" spans="1:3" ht="13.5" thickBot="1">
      <c r="A3" s="5" t="s">
        <v>0</v>
      </c>
      <c r="B3" s="7" t="s">
        <v>54</v>
      </c>
    </row>
    <row r="4" spans="1:3" ht="13">
      <c r="A4" s="8"/>
      <c r="B4" s="10"/>
    </row>
    <row r="5" spans="1:3" ht="13">
      <c r="A5" s="11"/>
      <c r="B5" s="13"/>
    </row>
    <row r="6" spans="1:3" ht="13">
      <c r="A6" s="11" t="s">
        <v>103</v>
      </c>
      <c r="B6" s="257">
        <f>'[1]SDGE-CustMonth-Forecast A'!$T$183/12</f>
        <v>5523.833333333333</v>
      </c>
    </row>
    <row r="7" spans="1:3" ht="13">
      <c r="A7" s="11"/>
      <c r="B7" s="257"/>
    </row>
    <row r="8" spans="1:3" ht="13">
      <c r="A8" s="11" t="s">
        <v>104</v>
      </c>
      <c r="B8" s="257">
        <f>'[1]SDGE-Cust-Forecast'!$GC$183</f>
        <v>5548</v>
      </c>
    </row>
    <row r="9" spans="1:3" ht="13">
      <c r="A9" s="11" t="s">
        <v>9</v>
      </c>
      <c r="B9" s="257"/>
    </row>
    <row r="10" spans="1:3" ht="13">
      <c r="A10" s="11"/>
      <c r="B10" s="257"/>
    </row>
    <row r="11" spans="1:3" ht="13">
      <c r="A11" s="11" t="s">
        <v>105</v>
      </c>
      <c r="B11" s="257">
        <f>'[1]SDGE-Cust-Forecast'!$GO$183-B8</f>
        <v>-52</v>
      </c>
    </row>
    <row r="12" spans="1:3" ht="13">
      <c r="A12" s="11" t="s">
        <v>106</v>
      </c>
      <c r="B12" s="257">
        <f>'[1]SDGE-Cust-Forecast'!$HA$183-B11-B8</f>
        <v>-51</v>
      </c>
    </row>
    <row r="13" spans="1:3" ht="13">
      <c r="A13" s="11" t="s">
        <v>107</v>
      </c>
      <c r="B13" s="257">
        <f>'[1]SDGE-Cust-Forecast'!$HM$183-B12-B11-B8</f>
        <v>-50</v>
      </c>
      <c r="C13" s="121"/>
    </row>
    <row r="14" spans="1:3" ht="13">
      <c r="A14" s="11"/>
      <c r="B14" s="15"/>
    </row>
    <row r="15" spans="1:3" ht="13">
      <c r="A15" s="11" t="s">
        <v>115</v>
      </c>
      <c r="B15" s="15">
        <f>ROUND(SUM(B11:B13)/3,0)</f>
        <v>-51</v>
      </c>
    </row>
    <row r="16" spans="1:3" ht="13">
      <c r="A16" s="11"/>
      <c r="B16" s="15"/>
    </row>
    <row r="17" spans="1:8" ht="13">
      <c r="A17" s="11" t="s">
        <v>75</v>
      </c>
      <c r="B17" s="15">
        <f>IF(B15&lt;0,0,B15)</f>
        <v>0</v>
      </c>
    </row>
    <row r="18" spans="1:8" ht="13">
      <c r="A18" s="20"/>
      <c r="B18" s="15"/>
    </row>
    <row r="19" spans="1:8" ht="13">
      <c r="A19" s="11" t="s">
        <v>10</v>
      </c>
      <c r="B19" s="15">
        <f>0.015*B8</f>
        <v>83.22</v>
      </c>
    </row>
    <row r="20" spans="1:8" ht="13">
      <c r="A20" s="21" t="s">
        <v>142</v>
      </c>
      <c r="B20" s="15"/>
    </row>
    <row r="21" spans="1:8" ht="13">
      <c r="A21" s="11"/>
      <c r="B21" s="15"/>
    </row>
    <row r="22" spans="1:8" ht="13">
      <c r="A22" s="11" t="s">
        <v>11</v>
      </c>
      <c r="B22" s="15">
        <f>B17+B19</f>
        <v>83.22</v>
      </c>
    </row>
    <row r="23" spans="1:8" ht="13.5" thickBot="1">
      <c r="A23" s="65"/>
      <c r="B23" s="386"/>
    </row>
    <row r="24" spans="1:8" ht="13">
      <c r="A24" s="188"/>
      <c r="B24" s="190"/>
    </row>
    <row r="25" spans="1:8" ht="13">
      <c r="A25" s="198" t="s">
        <v>113</v>
      </c>
      <c r="B25" s="200"/>
      <c r="C25" s="199"/>
      <c r="D25" s="199"/>
      <c r="E25" s="199"/>
      <c r="F25" s="199"/>
      <c r="G25" s="199"/>
      <c r="H25" s="199"/>
    </row>
    <row r="26" spans="1:8" ht="13.5" thickBot="1">
      <c r="A26" s="201" t="s">
        <v>114</v>
      </c>
      <c r="B26" s="202"/>
      <c r="C26" s="199"/>
      <c r="D26" s="199"/>
      <c r="E26" s="199"/>
      <c r="F26" s="199"/>
      <c r="G26" s="199"/>
      <c r="H26" s="199"/>
    </row>
    <row r="27" spans="1:8" ht="13">
      <c r="A27" s="61"/>
      <c r="B27" s="24"/>
    </row>
    <row r="28" spans="1:8" ht="13">
      <c r="A28" s="61"/>
      <c r="B28" s="24"/>
    </row>
    <row r="29" spans="1:8" ht="13">
      <c r="A29" s="61"/>
      <c r="B29" s="24"/>
    </row>
    <row r="30" spans="1:8" ht="13">
      <c r="A30" s="61"/>
      <c r="B30" s="24"/>
    </row>
    <row r="31" spans="1:8" ht="13">
      <c r="A31" s="61"/>
      <c r="B31" s="24"/>
    </row>
    <row r="32" spans="1:8" ht="13">
      <c r="A32" s="61"/>
      <c r="B32" s="24"/>
    </row>
    <row r="33" spans="1:2">
      <c r="A33" s="63"/>
      <c r="B33" s="64"/>
    </row>
    <row r="34" spans="1:2">
      <c r="B34" s="18"/>
    </row>
    <row r="36" spans="1:2">
      <c r="A36" s="1" t="s">
        <v>12</v>
      </c>
    </row>
    <row r="44" spans="1:2">
      <c r="A44" s="31"/>
    </row>
    <row r="56" spans="1:1">
      <c r="A56" s="31"/>
    </row>
  </sheetData>
  <mergeCells count="1">
    <mergeCell ref="A1:B1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24"/>
  <sheetViews>
    <sheetView zoomScaleNormal="100" workbookViewId="0">
      <selection activeCell="A20" sqref="A20"/>
    </sheetView>
  </sheetViews>
  <sheetFormatPr defaultColWidth="9.1796875" defaultRowHeight="12.5"/>
  <cols>
    <col min="1" max="1" width="72.7265625" style="41" customWidth="1"/>
    <col min="2" max="2" width="33.7265625" style="41" customWidth="1"/>
    <col min="3" max="3" width="9.1796875" style="41"/>
    <col min="4" max="4" width="9.7265625" style="41" bestFit="1" customWidth="1"/>
    <col min="5" max="16384" width="9.1796875" style="41"/>
  </cols>
  <sheetData>
    <row r="1" spans="1:4" s="57" customFormat="1" ht="13">
      <c r="A1" s="254" t="s">
        <v>28</v>
      </c>
      <c r="B1" s="247"/>
    </row>
    <row r="2" spans="1:4" s="57" customFormat="1" ht="13">
      <c r="A2" s="209"/>
      <c r="B2" s="248"/>
    </row>
    <row r="3" spans="1:4" s="57" customFormat="1" ht="13">
      <c r="A3" s="207" t="s">
        <v>29</v>
      </c>
      <c r="B3" s="249">
        <f>[6]Inputs!$C$3</f>
        <v>2.7723662892949787E-2</v>
      </c>
    </row>
    <row r="4" spans="1:4" s="57" customFormat="1" ht="13.5" thickBot="1">
      <c r="A4" s="58" t="s">
        <v>30</v>
      </c>
      <c r="B4" s="250">
        <f>[6]Inputs!$C$4</f>
        <v>1.5023E-2</v>
      </c>
    </row>
    <row r="5" spans="1:4" s="57" customFormat="1">
      <c r="A5" s="208"/>
      <c r="B5" s="251"/>
    </row>
    <row r="6" spans="1:4" ht="13">
      <c r="A6" s="411" t="s">
        <v>20</v>
      </c>
      <c r="B6" s="412"/>
    </row>
    <row r="7" spans="1:4">
      <c r="A7" s="208"/>
      <c r="B7" s="251"/>
    </row>
    <row r="8" spans="1:4" ht="13">
      <c r="A8" s="255" t="s">
        <v>31</v>
      </c>
      <c r="B8" s="324">
        <f>[3]Sheet1!$Z$159/100</f>
        <v>1.237604174155652</v>
      </c>
    </row>
    <row r="9" spans="1:4" ht="13">
      <c r="A9" s="255" t="s">
        <v>32</v>
      </c>
      <c r="B9" s="324">
        <f>[3]Sheet1!$Z$162/100</f>
        <v>1.2327432212211764</v>
      </c>
    </row>
    <row r="10" spans="1:4" ht="13">
      <c r="A10" s="255"/>
      <c r="B10" s="252"/>
    </row>
    <row r="11" spans="1:4" ht="13">
      <c r="A11" s="255" t="s">
        <v>77</v>
      </c>
      <c r="B11" s="324">
        <f>[3]Sheet1!$Z$164/100</f>
        <v>1.076756352061524</v>
      </c>
    </row>
    <row r="12" spans="1:4" ht="13">
      <c r="A12" s="255" t="s">
        <v>78</v>
      </c>
      <c r="B12" s="324">
        <f>[3]Sheet1!$Z$164/100</f>
        <v>1.076756352061524</v>
      </c>
    </row>
    <row r="13" spans="1:4" ht="13.5" thickBot="1">
      <c r="A13" s="256" t="s">
        <v>79</v>
      </c>
      <c r="B13" s="377">
        <f>B11*[4]RECC!$G$57+B12*[4]RECC!$G$58</f>
        <v>1.076756352061524</v>
      </c>
    </row>
    <row r="14" spans="1:4">
      <c r="A14" s="331"/>
      <c r="B14" s="332"/>
    </row>
    <row r="15" spans="1:4" ht="13">
      <c r="A15" s="333" t="s">
        <v>117</v>
      </c>
      <c r="B15" s="339">
        <f>[6]Inputs!$C$16</f>
        <v>4489781.140500363</v>
      </c>
    </row>
    <row r="16" spans="1:4" ht="13">
      <c r="A16" s="333" t="s">
        <v>100</v>
      </c>
      <c r="B16" s="338">
        <f>[6]Inputs!$C$17</f>
        <v>1482557.75</v>
      </c>
      <c r="D16" s="336"/>
    </row>
    <row r="17" spans="1:4" ht="13.5" thickBot="1">
      <c r="A17" s="334" t="s">
        <v>101</v>
      </c>
      <c r="B17" s="335">
        <f>B15/B16</f>
        <v>3.0284021924274875</v>
      </c>
      <c r="D17" s="336"/>
    </row>
    <row r="18" spans="1:4">
      <c r="A18" s="59"/>
      <c r="B18" s="253"/>
      <c r="D18" s="336"/>
    </row>
    <row r="19" spans="1:4">
      <c r="A19" s="208" t="s">
        <v>68</v>
      </c>
      <c r="B19" s="174"/>
      <c r="D19" s="337"/>
    </row>
    <row r="20" spans="1:4">
      <c r="A20" s="208" t="s">
        <v>137</v>
      </c>
      <c r="B20" s="174"/>
    </row>
    <row r="21" spans="1:4">
      <c r="A21" s="328" t="s">
        <v>80</v>
      </c>
      <c r="B21" s="329"/>
    </row>
    <row r="22" spans="1:4">
      <c r="A22" s="328" t="s">
        <v>98</v>
      </c>
      <c r="B22" s="174"/>
    </row>
    <row r="23" spans="1:4" ht="13.5" thickBot="1">
      <c r="A23" s="330" t="s">
        <v>99</v>
      </c>
      <c r="B23" s="126"/>
    </row>
    <row r="24" spans="1:4">
      <c r="A24" s="56"/>
      <c r="B24" s="56"/>
    </row>
  </sheetData>
  <mergeCells count="1">
    <mergeCell ref="A6:B6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topLeftCell="A24" zoomScaleNormal="100" workbookViewId="0">
      <selection activeCell="B8" sqref="B8"/>
    </sheetView>
  </sheetViews>
  <sheetFormatPr defaultColWidth="9.1796875" defaultRowHeight="12.5"/>
  <cols>
    <col min="1" max="1" width="55.7265625" style="1" customWidth="1"/>
    <col min="2" max="11" width="11.1796875" style="1" customWidth="1"/>
    <col min="12" max="12" width="9.1796875" style="1"/>
    <col min="13" max="15" width="10.26953125" style="1" bestFit="1" customWidth="1"/>
    <col min="16" max="16384" width="9.1796875" style="1"/>
  </cols>
  <sheetData>
    <row r="1" spans="1:16" ht="18.5" thickBot="1">
      <c r="A1" s="389" t="s">
        <v>90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</row>
    <row r="2" spans="1:16" ht="13.5" thickBot="1">
      <c r="A2" s="108"/>
      <c r="B2" s="390" t="s">
        <v>35</v>
      </c>
      <c r="C2" s="391"/>
      <c r="D2" s="391"/>
      <c r="E2" s="391"/>
      <c r="F2" s="392"/>
      <c r="G2" s="390" t="s">
        <v>40</v>
      </c>
      <c r="H2" s="391"/>
      <c r="I2" s="391"/>
      <c r="J2" s="391"/>
      <c r="K2" s="392"/>
      <c r="L2" s="390" t="s">
        <v>41</v>
      </c>
      <c r="M2" s="391"/>
      <c r="N2" s="391"/>
      <c r="O2" s="391"/>
      <c r="P2" s="392"/>
    </row>
    <row r="3" spans="1:16" ht="13.5" thickBot="1">
      <c r="A3" s="109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347" t="s">
        <v>42</v>
      </c>
      <c r="H3" s="72" t="s">
        <v>43</v>
      </c>
      <c r="I3" s="72" t="s">
        <v>44</v>
      </c>
      <c r="J3" s="72" t="s">
        <v>45</v>
      </c>
      <c r="K3" s="73" t="s">
        <v>47</v>
      </c>
      <c r="L3" s="347" t="s">
        <v>42</v>
      </c>
      <c r="M3" s="72" t="s">
        <v>43</v>
      </c>
      <c r="N3" s="72" t="s">
        <v>44</v>
      </c>
      <c r="O3" s="72" t="s">
        <v>45</v>
      </c>
      <c r="P3" s="73" t="s">
        <v>36</v>
      </c>
    </row>
    <row r="4" spans="1:16" ht="13">
      <c r="A4" s="21"/>
      <c r="B4" s="8"/>
      <c r="C4" s="68"/>
      <c r="D4" s="68"/>
      <c r="E4" s="68"/>
      <c r="F4" s="86"/>
      <c r="G4" s="68"/>
      <c r="H4" s="68"/>
      <c r="I4" s="68"/>
      <c r="J4" s="68"/>
      <c r="K4" s="86"/>
      <c r="L4" s="68"/>
      <c r="M4" s="68"/>
      <c r="N4" s="68"/>
      <c r="O4" s="68"/>
      <c r="P4" s="86"/>
    </row>
    <row r="5" spans="1:16" ht="13">
      <c r="A5" s="11"/>
      <c r="B5" s="11"/>
      <c r="C5" s="61"/>
      <c r="D5" s="61"/>
      <c r="E5" s="61"/>
      <c r="F5" s="87"/>
      <c r="G5" s="61"/>
      <c r="H5" s="61"/>
      <c r="I5" s="61"/>
      <c r="J5" s="61"/>
      <c r="K5" s="87"/>
      <c r="L5" s="61"/>
      <c r="M5" s="61"/>
      <c r="N5" s="61"/>
      <c r="O5" s="61"/>
      <c r="P5" s="87"/>
    </row>
    <row r="6" spans="1:16" ht="13">
      <c r="A6" s="11" t="s">
        <v>13</v>
      </c>
      <c r="B6" s="11"/>
      <c r="C6" s="61"/>
      <c r="D6" s="61"/>
      <c r="E6" s="61"/>
      <c r="F6" s="87"/>
      <c r="G6" s="61"/>
      <c r="H6" s="61"/>
      <c r="I6" s="61"/>
      <c r="J6" s="61"/>
      <c r="K6" s="87"/>
      <c r="L6" s="61"/>
      <c r="M6" s="61"/>
      <c r="N6" s="61"/>
      <c r="O6" s="61"/>
      <c r="P6" s="87"/>
    </row>
    <row r="7" spans="1:16" ht="13">
      <c r="A7" s="32"/>
      <c r="B7" s="32"/>
      <c r="C7" s="88"/>
      <c r="D7" s="88"/>
      <c r="E7" s="88"/>
      <c r="F7" s="89"/>
      <c r="G7" s="88"/>
      <c r="H7" s="88"/>
      <c r="I7" s="88"/>
      <c r="J7" s="88"/>
      <c r="K7" s="89"/>
      <c r="L7" s="88"/>
      <c r="M7" s="88"/>
      <c r="N7" s="88"/>
      <c r="O7" s="88"/>
      <c r="P7" s="89"/>
    </row>
    <row r="8" spans="1:16" ht="13">
      <c r="A8" s="11" t="s">
        <v>14</v>
      </c>
      <c r="B8" s="341">
        <f>'[6]Sm Comm Cust Cost Summary'!B8</f>
        <v>564.95057472916483</v>
      </c>
      <c r="C8" s="218">
        <f>'[6]Sm Comm Cust Cost Summary'!C8</f>
        <v>2445.3561789978348</v>
      </c>
      <c r="D8" s="218">
        <f>'[6]Sm Comm Cust Cost Summary'!D8</f>
        <v>8458.8751489189381</v>
      </c>
      <c r="E8" s="218">
        <f>'[6]Sm Comm Cust Cost Summary'!E8</f>
        <v>12884.039499381299</v>
      </c>
      <c r="F8" s="219">
        <f>'[6]Sm Comm Cust Cost Summary'!F8</f>
        <v>2081.2999751860907</v>
      </c>
      <c r="G8" s="218">
        <f>'[6]Sm Comm Cust Cost Summary'!G8</f>
        <v>0</v>
      </c>
      <c r="H8" s="218">
        <f>'[6]Sm Comm Cust Cost Summary'!H8</f>
        <v>0</v>
      </c>
      <c r="I8" s="218">
        <f>'[6]Sm Comm Cust Cost Summary'!I8</f>
        <v>0</v>
      </c>
      <c r="J8" s="218">
        <f>'[6]Sm Comm Cust Cost Summary'!J8</f>
        <v>0</v>
      </c>
      <c r="K8" s="219">
        <f>'[6]Sm Comm Cust Cost Summary'!K8</f>
        <v>0</v>
      </c>
      <c r="L8" s="218">
        <f>'[6]Sm Comm Cust Cost Summary'!L8</f>
        <v>564.89145886853748</v>
      </c>
      <c r="M8" s="218">
        <f>'[6]Sm Comm Cust Cost Summary'!M8</f>
        <v>2445.0186350090771</v>
      </c>
      <c r="N8" s="218">
        <f>'[6]Sm Comm Cust Cost Summary'!N8</f>
        <v>8456.9163958452045</v>
      </c>
      <c r="O8" s="218">
        <f>'[6]Sm Comm Cust Cost Summary'!O8</f>
        <v>12832.912358510741</v>
      </c>
      <c r="P8" s="219">
        <f>'[6]Sm Comm Cust Cost Summary'!P8</f>
        <v>2080.9844689518845</v>
      </c>
    </row>
    <row r="9" spans="1:16" ht="13">
      <c r="A9" s="11" t="s">
        <v>15</v>
      </c>
      <c r="B9" s="341">
        <f>'[6]Sm Comm Cust Cost Summary'!B9</f>
        <v>303.72905392202534</v>
      </c>
      <c r="C9" s="218">
        <f>'[6]Sm Comm Cust Cost Summary'!C9</f>
        <v>570.37959973173861</v>
      </c>
      <c r="D9" s="218">
        <f>'[6]Sm Comm Cust Cost Summary'!D9</f>
        <v>799.42639773374458</v>
      </c>
      <c r="E9" s="218">
        <f>'[6]Sm Comm Cust Cost Summary'!E9</f>
        <v>1683.5745981847397</v>
      </c>
      <c r="F9" s="219">
        <f>'[6]Sm Comm Cust Cost Summary'!F9</f>
        <v>475.83248980503129</v>
      </c>
      <c r="G9" s="218">
        <f>'[6]Sm Comm Cust Cost Summary'!G9</f>
        <v>3396.4220443713425</v>
      </c>
      <c r="H9" s="218">
        <f>'[6]Sm Comm Cust Cost Summary'!H9</f>
        <v>3396.4220443713425</v>
      </c>
      <c r="I9" s="218">
        <f>'[6]Sm Comm Cust Cost Summary'!I9</f>
        <v>3396.4220443713425</v>
      </c>
      <c r="J9" s="218">
        <f>'[6]Sm Comm Cust Cost Summary'!J9</f>
        <v>5075.863801084749</v>
      </c>
      <c r="K9" s="219">
        <f>'[6]Sm Comm Cust Cost Summary'!K9</f>
        <v>3648.3383078783536</v>
      </c>
      <c r="L9" s="218">
        <f>'[6]Sm Comm Cust Cost Summary'!L9</f>
        <v>304.05267020982961</v>
      </c>
      <c r="M9" s="218">
        <f>'[6]Sm Comm Cust Cost Summary'!M9</f>
        <v>570.76969163219644</v>
      </c>
      <c r="N9" s="218">
        <f>'[6]Sm Comm Cust Cost Summary'!N9</f>
        <v>800.02776294079274</v>
      </c>
      <c r="O9" s="218">
        <f>'[6]Sm Comm Cust Cost Summary'!O9</f>
        <v>1697.0360632756126</v>
      </c>
      <c r="P9" s="219">
        <f>'[6]Sm Comm Cust Cost Summary'!P9</f>
        <v>476.31341296631996</v>
      </c>
    </row>
    <row r="10" spans="1:16" ht="13">
      <c r="A10" s="11" t="s">
        <v>16</v>
      </c>
      <c r="B10" s="341">
        <f>'[6]Sm Comm Cust Cost Summary'!B10</f>
        <v>278.86106224823044</v>
      </c>
      <c r="C10" s="218">
        <f>'[6]Sm Comm Cust Cost Summary'!C10</f>
        <v>304.97803387835336</v>
      </c>
      <c r="D10" s="218">
        <f>'[6]Sm Comm Cust Cost Summary'!D10</f>
        <v>315.12899242024781</v>
      </c>
      <c r="E10" s="218">
        <f>'[6]Sm Comm Cust Cost Summary'!E10</f>
        <v>452.39001830603263</v>
      </c>
      <c r="F10" s="219">
        <f>'[6]Sm Comm Cust Cost Summary'!F10</f>
        <v>295.132712683043</v>
      </c>
      <c r="G10" s="218">
        <f>'[6]Sm Comm Cust Cost Summary'!G10</f>
        <v>939.38301028660817</v>
      </c>
      <c r="H10" s="218">
        <f>'[6]Sm Comm Cust Cost Summary'!H10</f>
        <v>939.38301028660817</v>
      </c>
      <c r="I10" s="218">
        <f>'[6]Sm Comm Cust Cost Summary'!I10</f>
        <v>939.38301028660817</v>
      </c>
      <c r="J10" s="218">
        <f>'[6]Sm Comm Cust Cost Summary'!J10</f>
        <v>1013.2782740042636</v>
      </c>
      <c r="K10" s="219">
        <f>'[6]Sm Comm Cust Cost Summary'!K10</f>
        <v>950.46729984425656</v>
      </c>
      <c r="L10" s="218">
        <f>'[6]Sm Comm Cust Cost Summary'!L10</f>
        <v>278.93017860135626</v>
      </c>
      <c r="M10" s="218">
        <f>'[6]Sm Comm Cust Cost Summary'!M10</f>
        <v>305.06560377433152</v>
      </c>
      <c r="N10" s="218">
        <f>'[6]Sm Comm Cust Cost Summary'!N10</f>
        <v>315.27354585728983</v>
      </c>
      <c r="O10" s="218">
        <f>'[6]Sm Comm Cust Cost Summary'!O10</f>
        <v>454.61576535245416</v>
      </c>
      <c r="P10" s="219">
        <f>'[6]Sm Comm Cust Cost Summary'!P10</f>
        <v>295.23205547370532</v>
      </c>
    </row>
    <row r="11" spans="1:16" ht="13">
      <c r="A11" s="11" t="s">
        <v>83</v>
      </c>
      <c r="B11" s="341">
        <f>'[5]Small Comm Cust Cost Summary'!B10</f>
        <v>274.75825806138499</v>
      </c>
      <c r="C11" s="218">
        <f>'[5]Small Comm Cust Cost Summary'!C10</f>
        <v>300.31169562718395</v>
      </c>
      <c r="D11" s="218">
        <f>'[5]Small Comm Cust Cost Summary'!D10</f>
        <v>310.24085101987561</v>
      </c>
      <c r="E11" s="218">
        <f>'[5]Small Comm Cust Cost Summary'!E10</f>
        <v>446.03680509841161</v>
      </c>
      <c r="F11" s="219">
        <f>'[5]Small Comm Cust Cost Summary'!F10</f>
        <v>290.6871559638443</v>
      </c>
      <c r="G11" s="218">
        <f>'[5]Small Comm Cust Cost Summary'!G10</f>
        <v>928.11620551141766</v>
      </c>
      <c r="H11" s="218">
        <f>'[5]Small Comm Cust Cost Summary'!H10</f>
        <v>928.11620551141766</v>
      </c>
      <c r="I11" s="218">
        <f>'[5]Small Comm Cust Cost Summary'!I10</f>
        <v>928.11620551141766</v>
      </c>
      <c r="J11" s="218">
        <f>'[5]Small Comm Cust Cost Summary'!J10</f>
        <v>1001.5434814917861</v>
      </c>
      <c r="K11" s="219">
        <f>'[5]Small Comm Cust Cost Summary'!K10</f>
        <v>939.13029690847304</v>
      </c>
      <c r="L11" s="218">
        <f>'[5]Small Comm Cust Cost Summary'!L10</f>
        <v>274.82662478068568</v>
      </c>
      <c r="M11" s="218">
        <f>'[5]Small Comm Cust Cost Summary'!M10</f>
        <v>300.3983544297937</v>
      </c>
      <c r="N11" s="218">
        <f>'[5]Small Comm Cust Cost Summary'!N10</f>
        <v>310.38392740160339</v>
      </c>
      <c r="O11" s="218">
        <f>'[5]Small Comm Cust Cost Summary'!O10</f>
        <v>448.24119667140116</v>
      </c>
      <c r="P11" s="219">
        <f>'[5]Small Comm Cust Cost Summary'!P10</f>
        <v>290.7854540736484</v>
      </c>
    </row>
    <row r="12" spans="1:16" ht="13">
      <c r="A12" s="20"/>
      <c r="B12" s="20"/>
      <c r="C12" s="62"/>
      <c r="D12" s="62"/>
      <c r="E12" s="62"/>
      <c r="F12" s="92"/>
      <c r="G12" s="62"/>
      <c r="H12" s="62"/>
      <c r="I12" s="62"/>
      <c r="J12" s="62"/>
      <c r="K12" s="92"/>
      <c r="L12" s="62"/>
      <c r="M12" s="62"/>
      <c r="N12" s="62"/>
      <c r="O12" s="62"/>
      <c r="P12" s="92"/>
    </row>
    <row r="13" spans="1:16" ht="13">
      <c r="A13" s="11" t="s">
        <v>17</v>
      </c>
      <c r="B13" s="93">
        <f t="shared" ref="B13:P13" si="0">SUM(B8:B10)</f>
        <v>1147.5406908994205</v>
      </c>
      <c r="C13" s="24">
        <f t="shared" si="0"/>
        <v>3320.7138126079267</v>
      </c>
      <c r="D13" s="24">
        <f t="shared" si="0"/>
        <v>9573.4305390729314</v>
      </c>
      <c r="E13" s="24">
        <f t="shared" si="0"/>
        <v>15020.004115872071</v>
      </c>
      <c r="F13" s="25">
        <f t="shared" si="0"/>
        <v>2852.265177674165</v>
      </c>
      <c r="G13" s="24">
        <f t="shared" si="0"/>
        <v>4335.8050546579507</v>
      </c>
      <c r="H13" s="24">
        <f t="shared" si="0"/>
        <v>4335.8050546579507</v>
      </c>
      <c r="I13" s="24">
        <f t="shared" si="0"/>
        <v>4335.8050546579507</v>
      </c>
      <c r="J13" s="24">
        <f t="shared" si="0"/>
        <v>6089.1420750890129</v>
      </c>
      <c r="K13" s="25">
        <f t="shared" si="0"/>
        <v>4598.8056077226101</v>
      </c>
      <c r="L13" s="24">
        <f t="shared" si="0"/>
        <v>1147.8743076797232</v>
      </c>
      <c r="M13" s="24">
        <f t="shared" si="0"/>
        <v>3320.8539304156052</v>
      </c>
      <c r="N13" s="24">
        <f t="shared" si="0"/>
        <v>9572.2177046432862</v>
      </c>
      <c r="O13" s="24">
        <f t="shared" si="0"/>
        <v>14984.564187138807</v>
      </c>
      <c r="P13" s="25">
        <f t="shared" si="0"/>
        <v>2852.5299373919097</v>
      </c>
    </row>
    <row r="14" spans="1:16" ht="13">
      <c r="A14" s="11" t="s">
        <v>82</v>
      </c>
      <c r="B14" s="342">
        <f>B8+B9+B11</f>
        <v>1143.4378867125752</v>
      </c>
      <c r="C14" s="340">
        <f t="shared" ref="C14:P14" si="1">C8+C9+C11</f>
        <v>3316.047474356757</v>
      </c>
      <c r="D14" s="340">
        <f t="shared" si="1"/>
        <v>9568.5423976725579</v>
      </c>
      <c r="E14" s="340">
        <f t="shared" si="1"/>
        <v>15013.650902664449</v>
      </c>
      <c r="F14" s="343">
        <f t="shared" si="1"/>
        <v>2847.8196209549665</v>
      </c>
      <c r="G14" s="340">
        <f t="shared" si="1"/>
        <v>4324.5382498827603</v>
      </c>
      <c r="H14" s="340">
        <f t="shared" si="1"/>
        <v>4324.5382498827603</v>
      </c>
      <c r="I14" s="340">
        <f t="shared" si="1"/>
        <v>4324.5382498827603</v>
      </c>
      <c r="J14" s="340">
        <f t="shared" si="1"/>
        <v>6077.4072825765352</v>
      </c>
      <c r="K14" s="343">
        <f t="shared" si="1"/>
        <v>4587.4686047868263</v>
      </c>
      <c r="L14" s="340">
        <f t="shared" si="1"/>
        <v>1143.7707538590528</v>
      </c>
      <c r="M14" s="340">
        <f t="shared" si="1"/>
        <v>3316.1866810710671</v>
      </c>
      <c r="N14" s="340">
        <f t="shared" si="1"/>
        <v>9567.3280861875992</v>
      </c>
      <c r="O14" s="340">
        <f t="shared" si="1"/>
        <v>14978.189618457754</v>
      </c>
      <c r="P14" s="343">
        <f t="shared" si="1"/>
        <v>2848.0833359918529</v>
      </c>
    </row>
    <row r="15" spans="1:16" ht="13">
      <c r="A15" s="11" t="s">
        <v>25</v>
      </c>
      <c r="B15" s="93"/>
      <c r="C15" s="24"/>
      <c r="D15" s="24"/>
      <c r="E15" s="24"/>
      <c r="F15" s="25"/>
      <c r="G15" s="24"/>
      <c r="H15" s="24"/>
      <c r="I15" s="24"/>
      <c r="J15" s="24"/>
      <c r="K15" s="25"/>
      <c r="L15" s="24"/>
      <c r="M15" s="24"/>
      <c r="N15" s="24"/>
      <c r="O15" s="24"/>
      <c r="P15" s="25"/>
    </row>
    <row r="16" spans="1:16" ht="13">
      <c r="A16" s="372">
        <f>Input!B3</f>
        <v>2.7723662892949787E-2</v>
      </c>
      <c r="B16" s="93"/>
      <c r="C16" s="24"/>
      <c r="D16" s="24"/>
      <c r="E16" s="24"/>
      <c r="F16" s="25"/>
      <c r="G16" s="24"/>
      <c r="H16" s="24"/>
      <c r="I16" s="24"/>
      <c r="J16" s="24"/>
      <c r="K16" s="25"/>
      <c r="L16" s="24"/>
      <c r="M16" s="24"/>
      <c r="N16" s="24"/>
      <c r="O16" s="24"/>
      <c r="P16" s="25"/>
    </row>
    <row r="17" spans="1:16" ht="13">
      <c r="A17" s="11" t="s">
        <v>26</v>
      </c>
      <c r="B17" s="175"/>
      <c r="C17" s="94"/>
      <c r="D17" s="94"/>
      <c r="E17" s="94"/>
      <c r="F17" s="95"/>
      <c r="G17" s="94"/>
      <c r="H17" s="94"/>
      <c r="I17" s="94"/>
      <c r="J17" s="94"/>
      <c r="K17" s="95"/>
      <c r="L17" s="94"/>
      <c r="M17" s="94"/>
      <c r="N17" s="94"/>
      <c r="O17" s="94"/>
      <c r="P17" s="95"/>
    </row>
    <row r="18" spans="1:16" ht="13">
      <c r="A18" s="372">
        <f>Input!B4</f>
        <v>1.5023E-2</v>
      </c>
      <c r="B18" s="93"/>
      <c r="C18" s="24"/>
      <c r="D18" s="24"/>
      <c r="E18" s="24"/>
      <c r="F18" s="25"/>
      <c r="G18" s="24"/>
      <c r="H18" s="24"/>
      <c r="I18" s="24"/>
      <c r="J18" s="24"/>
      <c r="K18" s="25"/>
      <c r="L18" s="24"/>
      <c r="M18" s="24"/>
      <c r="N18" s="24"/>
      <c r="O18" s="24"/>
      <c r="P18" s="25"/>
    </row>
    <row r="19" spans="1:16" ht="13">
      <c r="A19" s="21" t="s">
        <v>27</v>
      </c>
      <c r="B19" s="93">
        <f t="shared" ref="B19:P19" si="2">(B8*(1+$A$16)*(1+$A$18))</f>
        <v>589.33562422504883</v>
      </c>
      <c r="C19" s="24">
        <f t="shared" si="2"/>
        <v>2550.9054679573414</v>
      </c>
      <c r="D19" s="24">
        <f t="shared" si="2"/>
        <v>8823.9868921626312</v>
      </c>
      <c r="E19" s="24">
        <f t="shared" si="2"/>
        <v>13440.155299511165</v>
      </c>
      <c r="F19" s="25">
        <f t="shared" si="2"/>
        <v>2171.1354496167974</v>
      </c>
      <c r="G19" s="24">
        <f t="shared" si="2"/>
        <v>0</v>
      </c>
      <c r="H19" s="24">
        <f t="shared" si="2"/>
        <v>0</v>
      </c>
      <c r="I19" s="24">
        <f t="shared" si="2"/>
        <v>0</v>
      </c>
      <c r="J19" s="24">
        <f t="shared" si="2"/>
        <v>0</v>
      </c>
      <c r="K19" s="25">
        <f t="shared" si="2"/>
        <v>0</v>
      </c>
      <c r="L19" s="24">
        <f t="shared" si="2"/>
        <v>589.27395673733781</v>
      </c>
      <c r="M19" s="24">
        <f t="shared" si="2"/>
        <v>2550.5533545049152</v>
      </c>
      <c r="N19" s="24">
        <f t="shared" si="2"/>
        <v>8821.9435931254266</v>
      </c>
      <c r="O19" s="24">
        <f t="shared" si="2"/>
        <v>13386.821349909933</v>
      </c>
      <c r="P19" s="25">
        <f t="shared" si="2"/>
        <v>2170.806325137949</v>
      </c>
    </row>
    <row r="20" spans="1:16" ht="13">
      <c r="A20" s="21" t="s">
        <v>15</v>
      </c>
      <c r="B20" s="93">
        <f t="shared" ref="B20:P20" si="3">(B9*(1+$A$16)*(1+$A$18))</f>
        <v>316.8389583004344</v>
      </c>
      <c r="C20" s="24">
        <f t="shared" si="3"/>
        <v>594.99898307791659</v>
      </c>
      <c r="D20" s="24">
        <f t="shared" si="3"/>
        <v>833.93216363441468</v>
      </c>
      <c r="E20" s="24">
        <f t="shared" si="3"/>
        <v>1756.2429903293603</v>
      </c>
      <c r="F20" s="25">
        <f t="shared" si="3"/>
        <v>496.37092154520235</v>
      </c>
      <c r="G20" s="24">
        <f t="shared" si="3"/>
        <v>3543.0223371502479</v>
      </c>
      <c r="H20" s="24">
        <f t="shared" si="3"/>
        <v>3543.0223371502479</v>
      </c>
      <c r="I20" s="24">
        <f t="shared" si="3"/>
        <v>3543.0223371502479</v>
      </c>
      <c r="J20" s="24">
        <f t="shared" si="3"/>
        <v>5294.9540995292718</v>
      </c>
      <c r="K20" s="25">
        <f t="shared" si="3"/>
        <v>3805.8121015071019</v>
      </c>
      <c r="L20" s="24">
        <f t="shared" si="3"/>
        <v>317.1765428883852</v>
      </c>
      <c r="M20" s="24">
        <f t="shared" si="3"/>
        <v>595.40591257572567</v>
      </c>
      <c r="N20" s="24">
        <f t="shared" si="3"/>
        <v>834.55948566139534</v>
      </c>
      <c r="O20" s="24">
        <f t="shared" si="3"/>
        <v>1770.2854947309472</v>
      </c>
      <c r="P20" s="25">
        <f t="shared" si="3"/>
        <v>496.87260286767599</v>
      </c>
    </row>
    <row r="21" spans="1:16" ht="13">
      <c r="A21" s="21" t="s">
        <v>16</v>
      </c>
      <c r="B21" s="93">
        <f t="shared" ref="B21:P22" si="4">(B10*(1+$A$16)*(1+$A$18))</f>
        <v>290.89758563553346</v>
      </c>
      <c r="C21" s="24">
        <f t="shared" si="4"/>
        <v>318.14184817280955</v>
      </c>
      <c r="D21" s="24">
        <f t="shared" si="4"/>
        <v>328.7309541165248</v>
      </c>
      <c r="E21" s="24">
        <f t="shared" si="4"/>
        <v>471.91659900404312</v>
      </c>
      <c r="F21" s="25">
        <f t="shared" si="4"/>
        <v>307.87157184798969</v>
      </c>
      <c r="G21" s="24">
        <f t="shared" si="4"/>
        <v>979.92974521543431</v>
      </c>
      <c r="H21" s="24">
        <f t="shared" si="4"/>
        <v>979.92974521543431</v>
      </c>
      <c r="I21" s="24">
        <f t="shared" si="4"/>
        <v>979.92974521543431</v>
      </c>
      <c r="J21" s="24">
        <f t="shared" si="4"/>
        <v>1057.0145616902141</v>
      </c>
      <c r="K21" s="25">
        <f t="shared" si="4"/>
        <v>991.49246768665137</v>
      </c>
      <c r="L21" s="24">
        <f t="shared" si="4"/>
        <v>290.96968526855551</v>
      </c>
      <c r="M21" s="24">
        <f t="shared" si="4"/>
        <v>318.23319786182321</v>
      </c>
      <c r="N21" s="24">
        <f t="shared" si="4"/>
        <v>328.88174693604509</v>
      </c>
      <c r="O21" s="24">
        <f t="shared" si="4"/>
        <v>474.23841631628983</v>
      </c>
      <c r="P21" s="25">
        <f t="shared" si="4"/>
        <v>307.97520258697119</v>
      </c>
    </row>
    <row r="22" spans="1:16" ht="13">
      <c r="A22" s="11" t="s">
        <v>83</v>
      </c>
      <c r="B22" s="93">
        <f t="shared" si="4"/>
        <v>286.61769147366482</v>
      </c>
      <c r="C22" s="24">
        <f t="shared" si="4"/>
        <v>313.27409603817989</v>
      </c>
      <c r="D22" s="24">
        <f t="shared" si="4"/>
        <v>323.63182510887725</v>
      </c>
      <c r="E22" s="24">
        <f t="shared" si="4"/>
        <v>465.28916106694021</v>
      </c>
      <c r="F22" s="25">
        <f t="shared" si="4"/>
        <v>303.23413087292244</v>
      </c>
      <c r="G22" s="24">
        <f t="shared" si="4"/>
        <v>968.17662959396273</v>
      </c>
      <c r="H22" s="24">
        <f t="shared" si="4"/>
        <v>968.17662959396273</v>
      </c>
      <c r="I22" s="24">
        <f t="shared" si="4"/>
        <v>968.17662959396273</v>
      </c>
      <c r="J22" s="24">
        <f t="shared" si="4"/>
        <v>1044.7732585039882</v>
      </c>
      <c r="K22" s="25">
        <f t="shared" si="4"/>
        <v>979.6661239304666</v>
      </c>
      <c r="L22" s="24">
        <f t="shared" si="4"/>
        <v>286.68900911630033</v>
      </c>
      <c r="M22" s="24">
        <f t="shared" si="4"/>
        <v>313.36449530816049</v>
      </c>
      <c r="N22" s="24">
        <f t="shared" si="4"/>
        <v>323.78107711871513</v>
      </c>
      <c r="O22" s="24">
        <f t="shared" si="4"/>
        <v>467.58870113613483</v>
      </c>
      <c r="P22" s="25">
        <f t="shared" si="4"/>
        <v>303.3366718393234</v>
      </c>
    </row>
    <row r="23" spans="1:16" ht="13">
      <c r="A23" s="372"/>
      <c r="B23" s="93"/>
      <c r="C23" s="24"/>
      <c r="D23" s="24"/>
      <c r="E23" s="24"/>
      <c r="F23" s="25"/>
      <c r="G23" s="24"/>
      <c r="H23" s="24"/>
      <c r="I23" s="24"/>
      <c r="J23" s="24"/>
      <c r="K23" s="25"/>
      <c r="L23" s="24"/>
      <c r="M23" s="24"/>
      <c r="N23" s="24"/>
      <c r="O23" s="24"/>
      <c r="P23" s="25"/>
    </row>
    <row r="24" spans="1:16" ht="13">
      <c r="A24" s="11" t="s">
        <v>17</v>
      </c>
      <c r="B24" s="93">
        <f t="shared" ref="B24:P24" si="5">SUM(B19:B21)</f>
        <v>1197.0721681610166</v>
      </c>
      <c r="C24" s="24">
        <f t="shared" si="5"/>
        <v>3464.0462992080675</v>
      </c>
      <c r="D24" s="24">
        <f t="shared" si="5"/>
        <v>9986.6500099135701</v>
      </c>
      <c r="E24" s="24">
        <f t="shared" si="5"/>
        <v>15668.314888844568</v>
      </c>
      <c r="F24" s="25">
        <f t="shared" si="5"/>
        <v>2975.3779430099894</v>
      </c>
      <c r="G24" s="24">
        <f t="shared" si="5"/>
        <v>4522.9520823656821</v>
      </c>
      <c r="H24" s="24">
        <f t="shared" si="5"/>
        <v>4522.9520823656821</v>
      </c>
      <c r="I24" s="24">
        <f t="shared" si="5"/>
        <v>4522.9520823656821</v>
      </c>
      <c r="J24" s="24">
        <f t="shared" si="5"/>
        <v>6351.9686612194855</v>
      </c>
      <c r="K24" s="25">
        <f t="shared" si="5"/>
        <v>4797.3045691937532</v>
      </c>
      <c r="L24" s="24">
        <f t="shared" si="5"/>
        <v>1197.4201848942785</v>
      </c>
      <c r="M24" s="24">
        <f t="shared" si="5"/>
        <v>3464.1924649424641</v>
      </c>
      <c r="N24" s="24">
        <f t="shared" si="5"/>
        <v>9985.3848257228674</v>
      </c>
      <c r="O24" s="24">
        <f t="shared" si="5"/>
        <v>15631.34526095717</v>
      </c>
      <c r="P24" s="25">
        <f t="shared" si="5"/>
        <v>2975.6541305925962</v>
      </c>
    </row>
    <row r="25" spans="1:16" ht="13">
      <c r="A25" s="11" t="s">
        <v>82</v>
      </c>
      <c r="B25" s="93">
        <f>B19+B20+B22</f>
        <v>1192.7922739991479</v>
      </c>
      <c r="C25" s="24">
        <f t="shared" ref="C25:P25" si="6">C19+C20+C22</f>
        <v>3459.1785470734376</v>
      </c>
      <c r="D25" s="24">
        <f t="shared" si="6"/>
        <v>9981.5508809059229</v>
      </c>
      <c r="E25" s="24">
        <f t="shared" si="6"/>
        <v>15661.687450907464</v>
      </c>
      <c r="F25" s="25">
        <f t="shared" si="6"/>
        <v>2970.740502034922</v>
      </c>
      <c r="G25" s="24">
        <f t="shared" si="6"/>
        <v>4511.1989667442103</v>
      </c>
      <c r="H25" s="24">
        <f t="shared" si="6"/>
        <v>4511.1989667442103</v>
      </c>
      <c r="I25" s="24">
        <f t="shared" si="6"/>
        <v>4511.1989667442103</v>
      </c>
      <c r="J25" s="24">
        <f t="shared" si="6"/>
        <v>6339.7273580332603</v>
      </c>
      <c r="K25" s="25">
        <f t="shared" si="6"/>
        <v>4785.4782254375687</v>
      </c>
      <c r="L25" s="24">
        <f t="shared" si="6"/>
        <v>1193.1395087420233</v>
      </c>
      <c r="M25" s="24">
        <f t="shared" si="6"/>
        <v>3459.3237623888017</v>
      </c>
      <c r="N25" s="24">
        <f t="shared" si="6"/>
        <v>9980.2841559055378</v>
      </c>
      <c r="O25" s="24">
        <f t="shared" si="6"/>
        <v>15624.695545777016</v>
      </c>
      <c r="P25" s="25">
        <f t="shared" si="6"/>
        <v>2971.0155998449486</v>
      </c>
    </row>
    <row r="26" spans="1:16" ht="13">
      <c r="A26" s="20"/>
      <c r="B26" s="20"/>
      <c r="C26" s="62"/>
      <c r="D26" s="62"/>
      <c r="E26" s="62"/>
      <c r="F26" s="92"/>
      <c r="G26" s="62"/>
      <c r="H26" s="62"/>
      <c r="I26" s="62"/>
      <c r="J26" s="62"/>
      <c r="K26" s="92"/>
      <c r="L26" s="62"/>
      <c r="M26" s="62"/>
      <c r="N26" s="62"/>
      <c r="O26" s="62"/>
      <c r="P26" s="92"/>
    </row>
    <row r="27" spans="1:16" ht="13">
      <c r="A27" s="21" t="s">
        <v>20</v>
      </c>
      <c r="B27" s="20"/>
      <c r="C27" s="96"/>
      <c r="D27" s="96"/>
      <c r="E27" s="96"/>
      <c r="F27" s="97"/>
      <c r="G27" s="96"/>
      <c r="H27" s="96"/>
      <c r="I27" s="96"/>
      <c r="J27" s="96"/>
      <c r="K27" s="97"/>
      <c r="L27" s="96"/>
      <c r="M27" s="96"/>
      <c r="N27" s="96"/>
      <c r="O27" s="96"/>
      <c r="P27" s="97"/>
    </row>
    <row r="28" spans="1:16" ht="13">
      <c r="A28" s="21" t="s">
        <v>128</v>
      </c>
      <c r="B28" s="344">
        <f>B19*Input!$B$8</f>
        <v>729.36422851954728</v>
      </c>
      <c r="C28" s="90">
        <f>C19*Input!$B$8</f>
        <v>3157.0112550204826</v>
      </c>
      <c r="D28" s="90">
        <f>D19*Input!$B$8</f>
        <v>10920.603010435232</v>
      </c>
      <c r="E28" s="90">
        <f>E19*Input!$B$8</f>
        <v>16633.592299975226</v>
      </c>
      <c r="F28" s="91">
        <f>F19*Input!$B$8</f>
        <v>2687.0062951030568</v>
      </c>
      <c r="G28" s="90">
        <f>G19*Input!$B$8</f>
        <v>0</v>
      </c>
      <c r="H28" s="90">
        <f>H19*Input!$B$8</f>
        <v>0</v>
      </c>
      <c r="I28" s="90">
        <f>I19*Input!$B$8</f>
        <v>0</v>
      </c>
      <c r="J28" s="90">
        <f>J19*Input!$B$8</f>
        <v>0</v>
      </c>
      <c r="K28" s="91">
        <f>K19*Input!$B$8</f>
        <v>0</v>
      </c>
      <c r="L28" s="90">
        <f>L19*Input!$B$8</f>
        <v>729.28790857934644</v>
      </c>
      <c r="M28" s="90">
        <f>M19*Input!$B$8</f>
        <v>3156.5754779419835</v>
      </c>
      <c r="N28" s="90">
        <f>N19*Input!$B$8</f>
        <v>10918.074215017739</v>
      </c>
      <c r="O28" s="90">
        <f>O19*Input!$B$8</f>
        <v>16567.585981324533</v>
      </c>
      <c r="P28" s="91">
        <f>P19*Input!$B$8</f>
        <v>2686.5989692742173</v>
      </c>
    </row>
    <row r="29" spans="1:16" ht="13">
      <c r="A29" s="21" t="s">
        <v>129</v>
      </c>
      <c r="B29" s="344">
        <f>B20*Input!$B$9</f>
        <v>390.5810780636395</v>
      </c>
      <c r="C29" s="90">
        <f>C20*Input!$B$9</f>
        <v>733.48096302279509</v>
      </c>
      <c r="D29" s="90">
        <f>D20*Input!$B$9</f>
        <v>1028.0242216786335</v>
      </c>
      <c r="E29" s="90">
        <f>E20*Input!$B$9</f>
        <v>2164.9966411457272</v>
      </c>
      <c r="F29" s="91">
        <f>F20*Input!$B$9</f>
        <v>611.89788874615658</v>
      </c>
      <c r="G29" s="90">
        <f>G20*Input!$B$9</f>
        <v>4367.6367687571774</v>
      </c>
      <c r="H29" s="90">
        <f>H20*Input!$B$9</f>
        <v>4367.6367687571774</v>
      </c>
      <c r="I29" s="90">
        <f>I20*Input!$B$9</f>
        <v>4367.6367687571774</v>
      </c>
      <c r="J29" s="90">
        <f>J20*Input!$B$9</f>
        <v>6527.3187728719877</v>
      </c>
      <c r="K29" s="91">
        <f>K20*Input!$B$9</f>
        <v>4691.5890693743995</v>
      </c>
      <c r="L29" s="90">
        <f>L20*Input!$B$9</f>
        <v>390.99723317602457</v>
      </c>
      <c r="M29" s="90">
        <f>M20*Input!$B$9</f>
        <v>733.98260260273423</v>
      </c>
      <c r="N29" s="90">
        <f>N20*Input!$B$9</f>
        <v>1028.7975486549167</v>
      </c>
      <c r="O29" s="90">
        <f>O20*Input!$B$9</f>
        <v>2182.3074432557519</v>
      </c>
      <c r="P29" s="91">
        <f>P20*Input!$B$9</f>
        <v>612.51633299564924</v>
      </c>
    </row>
    <row r="30" spans="1:16" ht="13">
      <c r="A30" s="21" t="s">
        <v>138</v>
      </c>
      <c r="B30" s="344">
        <f>B21*Input!$B$13</f>
        <v>313.22582313242179</v>
      </c>
      <c r="C30" s="90">
        <f>C21*Input!$B$13</f>
        <v>342.5612558766656</v>
      </c>
      <c r="D30" s="90">
        <f>D21*Input!$B$13</f>
        <v>353.96314296421349</v>
      </c>
      <c r="E30" s="90">
        <f>E21*Input!$B$13</f>
        <v>508.13919562087449</v>
      </c>
      <c r="F30" s="91">
        <f>F21*Input!$B$13</f>
        <v>331.50267060648878</v>
      </c>
      <c r="G30" s="90">
        <f>G21*Input!$B$13</f>
        <v>1055.1455777347496</v>
      </c>
      <c r="H30" s="90">
        <f>H21*Input!$B$13</f>
        <v>1055.1455777347496</v>
      </c>
      <c r="I30" s="90">
        <f>I21*Input!$B$13</f>
        <v>1055.1455777347496</v>
      </c>
      <c r="J30" s="90">
        <f>J21*Input!$B$13</f>
        <v>1138.1471435214658</v>
      </c>
      <c r="K30" s="91">
        <f>K21*Input!$B$13</f>
        <v>1067.5958126027572</v>
      </c>
      <c r="L30" s="90">
        <f>L21*Input!$B$13</f>
        <v>313.30345687025959</v>
      </c>
      <c r="M30" s="90">
        <f>M21*Input!$B$13</f>
        <v>342.65961723456996</v>
      </c>
      <c r="N30" s="90">
        <f>N21*Input!$B$13</f>
        <v>354.12551009047718</v>
      </c>
      <c r="O30" s="90">
        <f>O21*Input!$B$13</f>
        <v>510.63922716016253</v>
      </c>
      <c r="P30" s="91">
        <f>P21*Input!$B$13</f>
        <v>331.61425566295594</v>
      </c>
    </row>
    <row r="31" spans="1:16" ht="13">
      <c r="A31" s="21" t="s">
        <v>139</v>
      </c>
      <c r="B31" s="344">
        <f>B22*Input!$B$13</f>
        <v>308.61741990747868</v>
      </c>
      <c r="C31" s="90">
        <f>C22*Input!$B$13</f>
        <v>337.31987284544209</v>
      </c>
      <c r="D31" s="90">
        <f>D22*Input!$B$13</f>
        <v>348.47262341524777</v>
      </c>
      <c r="E31" s="90">
        <f>E22*Input!$B$13</f>
        <v>501.0030597242054</v>
      </c>
      <c r="F31" s="91">
        <f>F22*Input!$B$13</f>
        <v>326.50927657927468</v>
      </c>
      <c r="G31" s="90">
        <f>G22*Input!$B$13</f>
        <v>1042.4903358328165</v>
      </c>
      <c r="H31" s="90">
        <f>H22*Input!$B$13</f>
        <v>1042.4903358328165</v>
      </c>
      <c r="I31" s="90">
        <f>I22*Input!$B$13</f>
        <v>1042.4903358328165</v>
      </c>
      <c r="J31" s="90">
        <f>J22*Input!$B$13</f>
        <v>1124.966242558186</v>
      </c>
      <c r="K31" s="91">
        <f>K22*Input!$B$13</f>
        <v>1054.8617218416221</v>
      </c>
      <c r="L31" s="90">
        <f>L22*Input!$B$13</f>
        <v>308.69421163220051</v>
      </c>
      <c r="M31" s="90">
        <f>M22*Input!$B$13</f>
        <v>337.41721083361546</v>
      </c>
      <c r="N31" s="90">
        <f>N22*Input!$B$13</f>
        <v>348.63333146489867</v>
      </c>
      <c r="O31" s="90">
        <f>O22*Input!$B$13</f>
        <v>503.47910410053072</v>
      </c>
      <c r="P31" s="91">
        <f>P22*Input!$B$13</f>
        <v>326.61968821619348</v>
      </c>
    </row>
    <row r="32" spans="1:16">
      <c r="A32" s="176"/>
      <c r="B32" s="176"/>
      <c r="C32" s="98"/>
      <c r="D32" s="98"/>
      <c r="E32" s="98"/>
      <c r="F32" s="99"/>
      <c r="G32" s="98"/>
      <c r="H32" s="98"/>
      <c r="I32" s="98"/>
      <c r="J32" s="98"/>
      <c r="K32" s="99"/>
      <c r="L32" s="98"/>
      <c r="M32" s="98"/>
      <c r="N32" s="98"/>
      <c r="O32" s="98"/>
      <c r="P32" s="99"/>
    </row>
    <row r="33" spans="1:18" ht="13">
      <c r="A33" s="11" t="s">
        <v>17</v>
      </c>
      <c r="B33" s="177">
        <f>SUM(B28:B30)</f>
        <v>1433.1711297156085</v>
      </c>
      <c r="C33" s="100">
        <f t="shared" ref="C33:P33" si="7">SUM(C28:C30)</f>
        <v>4233.0534739199429</v>
      </c>
      <c r="D33" s="100">
        <f t="shared" si="7"/>
        <v>12302.59037507808</v>
      </c>
      <c r="E33" s="100">
        <f t="shared" si="7"/>
        <v>19306.728136741829</v>
      </c>
      <c r="F33" s="101">
        <f t="shared" si="7"/>
        <v>3630.4068544557022</v>
      </c>
      <c r="G33" s="100">
        <f>SUM(G28:G30)</f>
        <v>5422.7823464919275</v>
      </c>
      <c r="H33" s="100">
        <f t="shared" si="7"/>
        <v>5422.7823464919275</v>
      </c>
      <c r="I33" s="100">
        <f t="shared" si="7"/>
        <v>5422.7823464919275</v>
      </c>
      <c r="J33" s="100">
        <f t="shared" si="7"/>
        <v>7665.4659163934539</v>
      </c>
      <c r="K33" s="101">
        <f t="shared" si="7"/>
        <v>5759.1848819771567</v>
      </c>
      <c r="L33" s="100">
        <f>SUM(L28:L30)</f>
        <v>1433.5885986256308</v>
      </c>
      <c r="M33" s="100">
        <f t="shared" si="7"/>
        <v>4233.2176977792878</v>
      </c>
      <c r="N33" s="100">
        <f t="shared" si="7"/>
        <v>12300.997273763132</v>
      </c>
      <c r="O33" s="100">
        <f t="shared" si="7"/>
        <v>19260.532651740446</v>
      </c>
      <c r="P33" s="101">
        <f t="shared" si="7"/>
        <v>3630.7295579328224</v>
      </c>
    </row>
    <row r="34" spans="1:18" ht="13">
      <c r="A34" s="11" t="s">
        <v>82</v>
      </c>
      <c r="B34" s="177">
        <f>B28+B29+B31</f>
        <v>1428.5627264906655</v>
      </c>
      <c r="C34" s="100">
        <f t="shared" ref="C34:P34" si="8">C28+C29+C31</f>
        <v>4227.8120908887195</v>
      </c>
      <c r="D34" s="100">
        <f t="shared" si="8"/>
        <v>12297.099855529113</v>
      </c>
      <c r="E34" s="100">
        <f t="shared" si="8"/>
        <v>19299.592000845158</v>
      </c>
      <c r="F34" s="101">
        <f t="shared" si="8"/>
        <v>3625.4134604284882</v>
      </c>
      <c r="G34" s="100">
        <f t="shared" si="8"/>
        <v>5410.1271045899939</v>
      </c>
      <c r="H34" s="100">
        <f t="shared" si="8"/>
        <v>5410.1271045899939</v>
      </c>
      <c r="I34" s="100">
        <f t="shared" si="8"/>
        <v>5410.1271045899939</v>
      </c>
      <c r="J34" s="100">
        <f t="shared" si="8"/>
        <v>7652.2850154301741</v>
      </c>
      <c r="K34" s="101">
        <f t="shared" si="8"/>
        <v>5746.4507912160216</v>
      </c>
      <c r="L34" s="100">
        <f t="shared" si="8"/>
        <v>1428.9793533875716</v>
      </c>
      <c r="M34" s="100">
        <f t="shared" si="8"/>
        <v>4227.9752913783332</v>
      </c>
      <c r="N34" s="100">
        <f t="shared" si="8"/>
        <v>12295.505095137554</v>
      </c>
      <c r="O34" s="100">
        <f t="shared" si="8"/>
        <v>19253.372528680815</v>
      </c>
      <c r="P34" s="101">
        <f t="shared" si="8"/>
        <v>3625.7349904860598</v>
      </c>
    </row>
    <row r="35" spans="1:18" ht="13">
      <c r="A35" s="21"/>
      <c r="B35" s="27"/>
      <c r="C35" s="63"/>
      <c r="D35" s="63"/>
      <c r="E35" s="63"/>
      <c r="F35" s="113"/>
      <c r="G35" s="63"/>
      <c r="H35" s="63"/>
      <c r="I35" s="63"/>
      <c r="J35" s="63"/>
      <c r="K35" s="113"/>
      <c r="L35" s="98"/>
      <c r="M35" s="98"/>
      <c r="N35" s="98"/>
      <c r="O35" s="98"/>
      <c r="P35" s="99"/>
    </row>
    <row r="36" spans="1:18" ht="13">
      <c r="A36" s="11" t="s">
        <v>118</v>
      </c>
      <c r="B36" s="178">
        <f>'NCO Sml Comm Cust Fcst'!H18</f>
        <v>58937.044172249385</v>
      </c>
      <c r="C36" s="102">
        <f>'NCO Sml Comm Cust Fcst'!H19</f>
        <v>62704.103250756758</v>
      </c>
      <c r="D36" s="102">
        <f>'NCO Sml Comm Cust Fcst'!H20</f>
        <v>11122.055098567835</v>
      </c>
      <c r="E36" s="102">
        <f>'NCO Sml Comm Cust Fcst'!H21</f>
        <v>814.61009413344686</v>
      </c>
      <c r="F36" s="103">
        <f>SUM(B36:E36)</f>
        <v>133577.81261570743</v>
      </c>
      <c r="G36" s="102">
        <f>'NCO Sml Comm Cust Fcst'!I18</f>
        <v>82.445928021030539</v>
      </c>
      <c r="H36" s="102">
        <f>'NCO Sml Comm Cust Fcst'!I19</f>
        <v>17.237733128329033</v>
      </c>
      <c r="I36" s="102">
        <f>'NCO Sml Comm Cust Fcst'!I20</f>
        <v>1.7740903906902501</v>
      </c>
      <c r="J36" s="102">
        <f>'NCO Sml Comm Cust Fcst'!I21</f>
        <v>3.6334255509612632</v>
      </c>
      <c r="K36" s="103">
        <f>SUM(G36:J36)</f>
        <v>105.09117709101109</v>
      </c>
      <c r="L36" s="102">
        <f>'NCO Sml Comm Cust Fcst'!J18</f>
        <v>59019.490100270414</v>
      </c>
      <c r="M36" s="102">
        <f>'NCO Sml Comm Cust Fcst'!J19</f>
        <v>62721.340983885086</v>
      </c>
      <c r="N36" s="102">
        <f>'NCO Sml Comm Cust Fcst'!J20</f>
        <v>11123.829188958525</v>
      </c>
      <c r="O36" s="102">
        <f>'NCO Sml Comm Cust Fcst'!J21</f>
        <v>818.24351968440817</v>
      </c>
      <c r="P36" s="103">
        <f>SUM(L36:O36)</f>
        <v>133682.90379279846</v>
      </c>
    </row>
    <row r="37" spans="1:18" ht="13">
      <c r="A37" s="21" t="s">
        <v>84</v>
      </c>
      <c r="B37" s="178">
        <f>'NCO Sml Comm Cust Fcst'!H48</f>
        <v>245</v>
      </c>
      <c r="C37" s="102">
        <f>'NCO Sml Comm Cust Fcst'!H49</f>
        <v>292</v>
      </c>
      <c r="D37" s="102">
        <f>'NCO Sml Comm Cust Fcst'!H50</f>
        <v>45</v>
      </c>
      <c r="E37" s="102">
        <f>'NCO Sml Comm Cust Fcst'!H51</f>
        <v>4</v>
      </c>
      <c r="F37" s="103">
        <f t="shared" ref="F37" si="9">SUM(B37:E37)</f>
        <v>586</v>
      </c>
      <c r="G37" s="102">
        <f>'NCO Sml Comm Cust Fcst'!I48</f>
        <v>0</v>
      </c>
      <c r="H37" s="102">
        <f>'NCO Sml Comm Cust Fcst'!I49</f>
        <v>0</v>
      </c>
      <c r="I37" s="102">
        <f>'NCO Sml Comm Cust Fcst'!I50</f>
        <v>0</v>
      </c>
      <c r="J37" s="102">
        <f>'NCO Sml Comm Cust Fcst'!I51</f>
        <v>0</v>
      </c>
      <c r="K37" s="103">
        <f t="shared" ref="K37" si="10">SUM(G37:J37)</f>
        <v>0</v>
      </c>
      <c r="L37" s="102">
        <f>'NCO Sml Comm Cust Fcst'!J48</f>
        <v>245</v>
      </c>
      <c r="M37" s="102">
        <f>'NCO Sml Comm Cust Fcst'!J49</f>
        <v>292</v>
      </c>
      <c r="N37" s="102">
        <f>'NCO Sml Comm Cust Fcst'!J50</f>
        <v>45</v>
      </c>
      <c r="O37" s="102">
        <f>'NCO Sml Comm Cust Fcst'!J51</f>
        <v>4</v>
      </c>
      <c r="P37" s="103">
        <f t="shared" ref="P37" si="11">SUM(L37:O37)</f>
        <v>586</v>
      </c>
    </row>
    <row r="38" spans="1:18" ht="13">
      <c r="A38" s="21" t="s">
        <v>85</v>
      </c>
      <c r="B38" s="178">
        <f>'NCO Sml Comm Cust Fcst'!H55</f>
        <v>884.05566258374074</v>
      </c>
      <c r="C38" s="102">
        <f>'NCO Sml Comm Cust Fcst'!H56</f>
        <v>940.56154876135133</v>
      </c>
      <c r="D38" s="102">
        <f>'NCO Sml Comm Cust Fcst'!H57</f>
        <v>166.83082647851754</v>
      </c>
      <c r="E38" s="102">
        <f>'NCO Sml Comm Cust Fcst'!H58</f>
        <v>12.219151412001702</v>
      </c>
      <c r="F38" s="103">
        <f t="shared" ref="F38" si="12">SUM(B38:E38)</f>
        <v>2003.6671892356114</v>
      </c>
      <c r="G38" s="102">
        <f>'NCO Sml Comm Cust Fcst'!I55</f>
        <v>1.2366889203154581</v>
      </c>
      <c r="H38" s="102">
        <f>'NCO Sml Comm Cust Fcst'!I56</f>
        <v>0.25856599692493548</v>
      </c>
      <c r="I38" s="102">
        <f>'NCO Sml Comm Cust Fcst'!I57</f>
        <v>2.661135586035375E-2</v>
      </c>
      <c r="J38" s="102">
        <f>'NCO Sml Comm Cust Fcst'!I58</f>
        <v>5.4501383264418946E-2</v>
      </c>
      <c r="K38" s="103">
        <f t="shared" ref="K38" si="13">SUM(G38:J38)</f>
        <v>1.5763676563651663</v>
      </c>
      <c r="L38" s="102">
        <f>'NCO Sml Comm Cust Fcst'!J55</f>
        <v>885.29235150405623</v>
      </c>
      <c r="M38" s="102">
        <f>'NCO Sml Comm Cust Fcst'!J56</f>
        <v>940.8201147582763</v>
      </c>
      <c r="N38" s="102">
        <f>'NCO Sml Comm Cust Fcst'!J57</f>
        <v>166.85743783437789</v>
      </c>
      <c r="O38" s="102">
        <f>'NCO Sml Comm Cust Fcst'!J58</f>
        <v>12.273652795266122</v>
      </c>
      <c r="P38" s="103">
        <f t="shared" ref="P38" si="14">SUM(L38:O38)</f>
        <v>2005.2435568919764</v>
      </c>
    </row>
    <row r="39" spans="1:18" ht="13">
      <c r="A39" s="11"/>
      <c r="B39" s="176"/>
      <c r="C39" s="98"/>
      <c r="D39" s="98"/>
      <c r="E39" s="98"/>
      <c r="F39" s="99"/>
      <c r="G39" s="98"/>
      <c r="H39" s="98"/>
      <c r="I39" s="98"/>
      <c r="J39" s="98"/>
      <c r="K39" s="99"/>
      <c r="L39" s="98"/>
      <c r="M39" s="98"/>
      <c r="N39" s="98"/>
      <c r="O39" s="98"/>
      <c r="P39" s="99"/>
    </row>
    <row r="40" spans="1:18" ht="13">
      <c r="A40" s="11" t="s">
        <v>119</v>
      </c>
      <c r="B40" s="123">
        <f>(B33*B37+B34*B38)/B36</f>
        <v>27.386101850870318</v>
      </c>
      <c r="C40" s="33">
        <f t="shared" ref="C40:P40" si="15">(C33*C37+C34*C38)/C36</f>
        <v>83.129633185528021</v>
      </c>
      <c r="D40" s="33">
        <f t="shared" si="15"/>
        <v>234.23296108295261</v>
      </c>
      <c r="E40" s="33">
        <f t="shared" si="15"/>
        <v>384.2961824922686</v>
      </c>
      <c r="F40" s="34">
        <f t="shared" si="15"/>
        <v>70.307637405348487</v>
      </c>
      <c r="G40" s="33">
        <f t="shared" si="15"/>
        <v>81.15190656884991</v>
      </c>
      <c r="H40" s="33">
        <f t="shared" si="15"/>
        <v>81.15190656884991</v>
      </c>
      <c r="I40" s="33">
        <f t="shared" si="15"/>
        <v>81.151906568849896</v>
      </c>
      <c r="J40" s="33">
        <f t="shared" si="15"/>
        <v>114.78427523145261</v>
      </c>
      <c r="K40" s="34">
        <f t="shared" si="15"/>
        <v>86.19676186824033</v>
      </c>
      <c r="L40" s="33">
        <f t="shared" si="15"/>
        <v>27.385761820858278</v>
      </c>
      <c r="M40" s="33">
        <f t="shared" si="15"/>
        <v>83.127428157520811</v>
      </c>
      <c r="N40" s="33">
        <f t="shared" si="15"/>
        <v>234.19465636521875</v>
      </c>
      <c r="O40" s="33">
        <f t="shared" si="15"/>
        <v>382.95609146133273</v>
      </c>
      <c r="P40" s="34">
        <f t="shared" si="15"/>
        <v>70.301354795413076</v>
      </c>
    </row>
    <row r="41" spans="1:18" ht="13">
      <c r="A41" s="11"/>
      <c r="B41" s="176"/>
      <c r="C41" s="98"/>
      <c r="D41" s="98"/>
      <c r="E41" s="98"/>
      <c r="F41" s="99"/>
      <c r="G41" s="98"/>
      <c r="H41" s="98"/>
      <c r="I41" s="98"/>
      <c r="J41" s="98"/>
      <c r="K41" s="99"/>
      <c r="L41" s="98"/>
      <c r="M41" s="98"/>
      <c r="N41" s="98"/>
      <c r="O41" s="98"/>
      <c r="P41" s="99"/>
    </row>
    <row r="42" spans="1:18" ht="13">
      <c r="A42" s="40" t="s">
        <v>21</v>
      </c>
      <c r="B42" s="345">
        <f>'[6]Sm Comm Cust Cost Summary'!B30</f>
        <v>26.892993865504845</v>
      </c>
      <c r="C42" s="220">
        <f>'[6]Sm Comm Cust Cost Summary'!C30</f>
        <v>29.437592847759646</v>
      </c>
      <c r="D42" s="220">
        <f>'[6]Sm Comm Cust Cost Summary'!D30</f>
        <v>30.394637612355719</v>
      </c>
      <c r="E42" s="220">
        <f>'[6]Sm Comm Cust Cost Summary'!E30</f>
        <v>29.678316282841365</v>
      </c>
      <c r="F42" s="221">
        <f>'[6]Sm Comm Cust Cost Summary'!F30</f>
        <v>28.39565119062171</v>
      </c>
      <c r="G42" s="220">
        <f>'[6]Sm Comm Cust Cost Summary'!G30</f>
        <v>45.783288648094988</v>
      </c>
      <c r="H42" s="220">
        <f>'[6]Sm Comm Cust Cost Summary'!H30</f>
        <v>45.783288648094981</v>
      </c>
      <c r="I42" s="220">
        <f>'[6]Sm Comm Cust Cost Summary'!I30</f>
        <v>45.783288648094981</v>
      </c>
      <c r="J42" s="220">
        <f>'[6]Sm Comm Cust Cost Summary'!J30</f>
        <v>45.783288648094988</v>
      </c>
      <c r="K42" s="221">
        <f>'[6]Sm Comm Cust Cost Summary'!K30</f>
        <v>45.783288648094981</v>
      </c>
      <c r="L42" s="220">
        <f>'[6]Sm Comm Cust Cost Summary'!L30</f>
        <v>26.895568156447098</v>
      </c>
      <c r="M42" s="220">
        <f>'[6]Sm Comm Cust Cost Summary'!M30</f>
        <v>29.44020424361215</v>
      </c>
      <c r="N42" s="220">
        <f>'[6]Sm Comm Cust Cost Summary'!N30</f>
        <v>30.39699759090982</v>
      </c>
      <c r="O42" s="220">
        <f>'[6]Sm Comm Cust Cost Summary'!O30</f>
        <v>29.680018203061277</v>
      </c>
      <c r="P42" s="221">
        <f>'[6]Sm Comm Cust Cost Summary'!P30</f>
        <v>28.398286999049784</v>
      </c>
      <c r="R42" s="368"/>
    </row>
    <row r="43" spans="1:18" ht="13">
      <c r="A43" s="40" t="s">
        <v>81</v>
      </c>
      <c r="B43" s="345">
        <f>'[6]Sm Comm Cust Cost Summary'!B31</f>
        <v>-3.0284021924274875</v>
      </c>
      <c r="C43" s="220">
        <f>'[6]Sm Comm Cust Cost Summary'!C31</f>
        <v>-3.0284021924274875</v>
      </c>
      <c r="D43" s="220">
        <f>'[6]Sm Comm Cust Cost Summary'!D31</f>
        <v>-3.0284021924274875</v>
      </c>
      <c r="E43" s="220">
        <f>'[6]Sm Comm Cust Cost Summary'!E31</f>
        <v>-3.0284021924274875</v>
      </c>
      <c r="F43" s="221">
        <f>'[6]Sm Comm Cust Cost Summary'!F31</f>
        <v>-3.0284021924274875</v>
      </c>
      <c r="G43" s="220">
        <f>'[6]Sm Comm Cust Cost Summary'!G31</f>
        <v>-3.0284021924274875</v>
      </c>
      <c r="H43" s="220">
        <f>'[6]Sm Comm Cust Cost Summary'!H31</f>
        <v>-3.0284021924274875</v>
      </c>
      <c r="I43" s="220">
        <f>'[6]Sm Comm Cust Cost Summary'!I31</f>
        <v>-3.0284021924274875</v>
      </c>
      <c r="J43" s="220">
        <f>'[6]Sm Comm Cust Cost Summary'!J31</f>
        <v>-3.0284021924274875</v>
      </c>
      <c r="K43" s="221">
        <f>'[6]Sm Comm Cust Cost Summary'!K31</f>
        <v>-3.0284021924274875</v>
      </c>
      <c r="L43" s="220">
        <f>'[6]Sm Comm Cust Cost Summary'!L31</f>
        <v>-3.0284021924274875</v>
      </c>
      <c r="M43" s="220">
        <f>'[6]Sm Comm Cust Cost Summary'!M31</f>
        <v>-3.0284021924274875</v>
      </c>
      <c r="N43" s="220">
        <f>'[6]Sm Comm Cust Cost Summary'!N31</f>
        <v>-3.0284021924274875</v>
      </c>
      <c r="O43" s="220">
        <f>'[6]Sm Comm Cust Cost Summary'!O31</f>
        <v>-3.0284021924274875</v>
      </c>
      <c r="P43" s="221">
        <f>'[6]Sm Comm Cust Cost Summary'!P31</f>
        <v>-3.0284021924274875</v>
      </c>
    </row>
    <row r="44" spans="1:18" ht="16">
      <c r="A44" s="40" t="s">
        <v>22</v>
      </c>
      <c r="B44" s="346">
        <f>'[6]Sm Comm Cust Cost Summary'!B34</f>
        <v>56.483965806152284</v>
      </c>
      <c r="C44" s="222">
        <f>'[6]Sm Comm Cust Cost Summary'!C34</f>
        <v>56.483406407519858</v>
      </c>
      <c r="D44" s="222">
        <f>'[6]Sm Comm Cust Cost Summary'!D34</f>
        <v>56.4578056390447</v>
      </c>
      <c r="E44" s="222">
        <f>'[6]Sm Comm Cust Cost Summary'!E34</f>
        <v>56.371892193164172</v>
      </c>
      <c r="F44" s="223">
        <f>'[6]Sm Comm Cust Cost Summary'!F34</f>
        <v>56.481337178491849</v>
      </c>
      <c r="G44" s="222">
        <f>'[6]Sm Comm Cust Cost Summary'!G34</f>
        <v>56.488244546548472</v>
      </c>
      <c r="H44" s="222">
        <f>'[6]Sm Comm Cust Cost Summary'!H34</f>
        <v>56.488244546548472</v>
      </c>
      <c r="I44" s="222">
        <f>'[6]Sm Comm Cust Cost Summary'!I34</f>
        <v>56.488244546548472</v>
      </c>
      <c r="J44" s="222">
        <f>'[6]Sm Comm Cust Cost Summary'!J34</f>
        <v>56.488244546548472</v>
      </c>
      <c r="K44" s="223">
        <f>'[6]Sm Comm Cust Cost Summary'!K34</f>
        <v>56.488244546548472</v>
      </c>
      <c r="L44" s="222">
        <f>'[6]Sm Comm Cust Cost Summary'!L34</f>
        <v>56.483966253875366</v>
      </c>
      <c r="M44" s="222">
        <f>'[6]Sm Comm Cust Cost Summary'!M34</f>
        <v>56.483407075350883</v>
      </c>
      <c r="N44" s="222">
        <f>'[6]Sm Comm Cust Cost Summary'!N34</f>
        <v>56.457812687535487</v>
      </c>
      <c r="O44" s="222">
        <f>'[6]Sm Comm Cust Cost Summary'!O34</f>
        <v>56.372353908852197</v>
      </c>
      <c r="P44" s="223">
        <f>'[6]Sm Comm Cust Cost Summary'!P34</f>
        <v>56.481338225586306</v>
      </c>
    </row>
    <row r="45" spans="1:18" ht="13">
      <c r="A45" s="11" t="s">
        <v>120</v>
      </c>
      <c r="B45" s="169">
        <f>B42+B43+B44</f>
        <v>80.34855747922964</v>
      </c>
      <c r="C45" s="104">
        <f t="shared" ref="C45:P45" si="16">C42+C43+C44</f>
        <v>82.892597062852019</v>
      </c>
      <c r="D45" s="104">
        <f t="shared" si="16"/>
        <v>83.824041058972938</v>
      </c>
      <c r="E45" s="104">
        <f t="shared" si="16"/>
        <v>83.021806283578044</v>
      </c>
      <c r="F45" s="105">
        <f t="shared" si="16"/>
        <v>81.848586176686069</v>
      </c>
      <c r="G45" s="104">
        <f t="shared" si="16"/>
        <v>99.243131002215975</v>
      </c>
      <c r="H45" s="104">
        <f t="shared" si="16"/>
        <v>99.243131002215961</v>
      </c>
      <c r="I45" s="104">
        <f t="shared" si="16"/>
        <v>99.243131002215961</v>
      </c>
      <c r="J45" s="104">
        <f t="shared" si="16"/>
        <v>99.243131002215975</v>
      </c>
      <c r="K45" s="105">
        <f t="shared" si="16"/>
        <v>99.243131002215961</v>
      </c>
      <c r="L45" s="104">
        <f t="shared" si="16"/>
        <v>80.351132217894971</v>
      </c>
      <c r="M45" s="104">
        <f t="shared" si="16"/>
        <v>82.895209126535548</v>
      </c>
      <c r="N45" s="104">
        <f t="shared" si="16"/>
        <v>83.826408086017821</v>
      </c>
      <c r="O45" s="104">
        <f t="shared" si="16"/>
        <v>83.023969919485978</v>
      </c>
      <c r="P45" s="105">
        <f t="shared" si="16"/>
        <v>81.851223032208594</v>
      </c>
    </row>
    <row r="46" spans="1:18">
      <c r="A46" s="27"/>
      <c r="B46" s="176"/>
      <c r="C46" s="98"/>
      <c r="D46" s="98"/>
      <c r="E46" s="98"/>
      <c r="F46" s="99"/>
      <c r="G46" s="98"/>
      <c r="H46" s="98"/>
      <c r="I46" s="98"/>
      <c r="J46" s="98"/>
      <c r="K46" s="99"/>
      <c r="L46" s="98"/>
      <c r="M46" s="98"/>
      <c r="N46" s="98"/>
      <c r="O46" s="98"/>
      <c r="P46" s="99"/>
    </row>
    <row r="47" spans="1:18" ht="13">
      <c r="A47" s="11" t="s">
        <v>121</v>
      </c>
      <c r="B47" s="169">
        <f>B40+B45</f>
        <v>107.73465933009996</v>
      </c>
      <c r="C47" s="104">
        <f t="shared" ref="C47:P47" si="17">C40+C45</f>
        <v>166.02223024838003</v>
      </c>
      <c r="D47" s="104">
        <f t="shared" si="17"/>
        <v>318.05700214192552</v>
      </c>
      <c r="E47" s="104">
        <f t="shared" si="17"/>
        <v>467.31798877584663</v>
      </c>
      <c r="F47" s="105">
        <f t="shared" si="17"/>
        <v>152.15622358203456</v>
      </c>
      <c r="G47" s="104">
        <f t="shared" si="17"/>
        <v>180.39503757106587</v>
      </c>
      <c r="H47" s="104">
        <f t="shared" si="17"/>
        <v>180.39503757106587</v>
      </c>
      <c r="I47" s="104">
        <f t="shared" si="17"/>
        <v>180.39503757106587</v>
      </c>
      <c r="J47" s="104">
        <f t="shared" si="17"/>
        <v>214.02740623366859</v>
      </c>
      <c r="K47" s="105">
        <f t="shared" si="17"/>
        <v>185.43989287045628</v>
      </c>
      <c r="L47" s="104">
        <f t="shared" si="17"/>
        <v>107.73689403875325</v>
      </c>
      <c r="M47" s="104">
        <f t="shared" si="17"/>
        <v>166.02263728405637</v>
      </c>
      <c r="N47" s="104">
        <f t="shared" si="17"/>
        <v>318.02106445123655</v>
      </c>
      <c r="O47" s="104">
        <f t="shared" si="17"/>
        <v>465.98006138081871</v>
      </c>
      <c r="P47" s="105">
        <f t="shared" si="17"/>
        <v>152.15257782762166</v>
      </c>
    </row>
    <row r="48" spans="1:18" ht="13" thickBot="1">
      <c r="A48" s="373"/>
      <c r="B48" s="353"/>
      <c r="C48" s="354"/>
      <c r="D48" s="354"/>
      <c r="E48" s="354"/>
      <c r="F48" s="355"/>
      <c r="G48" s="354"/>
      <c r="H48" s="354"/>
      <c r="I48" s="354"/>
      <c r="J48" s="354"/>
      <c r="K48" s="355"/>
      <c r="L48" s="106"/>
      <c r="M48" s="106"/>
      <c r="N48" s="106"/>
      <c r="O48" s="106"/>
      <c r="P48" s="107"/>
    </row>
    <row r="49" spans="1:16">
      <c r="A49" s="205" t="s">
        <v>132</v>
      </c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7"/>
    </row>
    <row r="50" spans="1:16" ht="13" thickBot="1">
      <c r="A50" s="179" t="s">
        <v>133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7"/>
    </row>
    <row r="51" spans="1:16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</row>
    <row r="52" spans="1:16">
      <c r="B52" s="368"/>
      <c r="C52" s="368"/>
      <c r="D52" s="368"/>
      <c r="E52" s="368"/>
      <c r="F52" s="368"/>
      <c r="G52" s="368"/>
      <c r="H52" s="368"/>
      <c r="I52" s="368"/>
      <c r="J52" s="368"/>
      <c r="K52" s="368"/>
      <c r="L52" s="368"/>
      <c r="M52" s="368"/>
      <c r="N52" s="368"/>
      <c r="O52" s="368"/>
      <c r="P52" s="368"/>
    </row>
    <row r="59" spans="1:16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56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7"/>
  <sheetViews>
    <sheetView topLeftCell="A18" zoomScaleNormal="100" workbookViewId="0">
      <selection activeCell="A45" sqref="A45"/>
    </sheetView>
  </sheetViews>
  <sheetFormatPr defaultColWidth="9.1796875" defaultRowHeight="12.5"/>
  <cols>
    <col min="1" max="1" width="60.7265625" style="41" customWidth="1"/>
    <col min="2" max="2" width="10.26953125" style="56" customWidth="1"/>
    <col min="3" max="3" width="17.1796875" style="56" bestFit="1" customWidth="1"/>
    <col min="4" max="4" width="8.7265625" style="56" bestFit="1" customWidth="1"/>
    <col min="5" max="5" width="10.453125" style="56" bestFit="1" customWidth="1"/>
    <col min="6" max="6" width="9.26953125" style="56" bestFit="1" customWidth="1"/>
    <col min="7" max="7" width="17.1796875" style="56" bestFit="1" customWidth="1"/>
    <col min="8" max="8" width="10.453125" style="56" bestFit="1" customWidth="1"/>
    <col min="9" max="9" width="9.7265625" style="56" bestFit="1" customWidth="1"/>
    <col min="10" max="10" width="11.453125" style="56" bestFit="1" customWidth="1"/>
    <col min="11" max="11" width="17.1796875" style="56" bestFit="1" customWidth="1"/>
    <col min="12" max="12" width="11.453125" style="56" bestFit="1" customWidth="1"/>
    <col min="13" max="13" width="11.26953125" style="56" bestFit="1" customWidth="1"/>
    <col min="14" max="14" width="10.453125" style="41" bestFit="1" customWidth="1"/>
    <col min="15" max="15" width="17.1796875" style="41" bestFit="1" customWidth="1"/>
    <col min="16" max="16" width="11.453125" style="41" bestFit="1" customWidth="1"/>
    <col min="17" max="17" width="10.453125" style="41" bestFit="1" customWidth="1"/>
    <col min="18" max="16384" width="9.1796875" style="41"/>
  </cols>
  <sheetData>
    <row r="1" spans="1:17" ht="18.5" thickBot="1">
      <c r="A1" s="393" t="s">
        <v>91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4"/>
      <c r="O1" s="394"/>
      <c r="P1" s="394"/>
      <c r="Q1" s="394"/>
    </row>
    <row r="2" spans="1:17" ht="13.5" thickBot="1">
      <c r="A2" s="162"/>
      <c r="B2" s="395" t="s">
        <v>35</v>
      </c>
      <c r="C2" s="396"/>
      <c r="D2" s="396"/>
      <c r="E2" s="397"/>
      <c r="F2" s="398" t="s">
        <v>40</v>
      </c>
      <c r="G2" s="399"/>
      <c r="H2" s="399"/>
      <c r="I2" s="400"/>
      <c r="J2" s="398" t="s">
        <v>70</v>
      </c>
      <c r="K2" s="399"/>
      <c r="L2" s="399"/>
      <c r="M2" s="400"/>
      <c r="N2" s="398" t="s">
        <v>71</v>
      </c>
      <c r="O2" s="399"/>
      <c r="P2" s="399"/>
      <c r="Q2" s="400"/>
    </row>
    <row r="3" spans="1:17" ht="13.5" thickBot="1">
      <c r="A3" s="163" t="s">
        <v>0</v>
      </c>
      <c r="B3" s="180" t="s">
        <v>48</v>
      </c>
      <c r="C3" s="114" t="s">
        <v>49</v>
      </c>
      <c r="D3" s="114" t="s">
        <v>50</v>
      </c>
      <c r="E3" s="327" t="s">
        <v>36</v>
      </c>
      <c r="F3" s="180" t="s">
        <v>48</v>
      </c>
      <c r="G3" s="114" t="s">
        <v>49</v>
      </c>
      <c r="H3" s="114" t="s">
        <v>50</v>
      </c>
      <c r="I3" s="327" t="s">
        <v>36</v>
      </c>
      <c r="J3" s="180" t="s">
        <v>48</v>
      </c>
      <c r="K3" s="114" t="s">
        <v>49</v>
      </c>
      <c r="L3" s="114" t="s">
        <v>50</v>
      </c>
      <c r="M3" s="327" t="s">
        <v>36</v>
      </c>
      <c r="N3" s="180" t="s">
        <v>48</v>
      </c>
      <c r="O3" s="114" t="s">
        <v>49</v>
      </c>
      <c r="P3" s="114" t="s">
        <v>50</v>
      </c>
      <c r="Q3" s="327" t="s">
        <v>36</v>
      </c>
    </row>
    <row r="4" spans="1:17" ht="13">
      <c r="A4" s="44"/>
      <c r="B4" s="116"/>
      <c r="C4" s="45"/>
      <c r="D4" s="45"/>
      <c r="E4" s="46"/>
      <c r="F4" s="45"/>
      <c r="G4" s="45"/>
      <c r="H4" s="45"/>
      <c r="I4" s="45"/>
      <c r="J4" s="116"/>
      <c r="K4" s="45"/>
      <c r="L4" s="45"/>
      <c r="M4" s="46"/>
      <c r="N4" s="116"/>
      <c r="O4" s="45"/>
      <c r="P4" s="45"/>
      <c r="Q4" s="46"/>
    </row>
    <row r="5" spans="1:17" ht="13">
      <c r="A5" s="47"/>
      <c r="B5" s="115"/>
      <c r="C5" s="48"/>
      <c r="D5" s="48"/>
      <c r="E5" s="49"/>
      <c r="F5" s="48"/>
      <c r="G5" s="48"/>
      <c r="H5" s="48"/>
      <c r="I5" s="48"/>
      <c r="J5" s="115"/>
      <c r="K5" s="48"/>
      <c r="L5" s="48"/>
      <c r="M5" s="49"/>
      <c r="N5" s="115"/>
      <c r="O5" s="48"/>
      <c r="P5" s="48"/>
      <c r="Q5" s="49"/>
    </row>
    <row r="6" spans="1:17" ht="13">
      <c r="A6" s="47" t="s">
        <v>13</v>
      </c>
      <c r="B6" s="93"/>
      <c r="C6" s="24"/>
      <c r="D6" s="24"/>
      <c r="E6" s="25"/>
      <c r="F6" s="24"/>
      <c r="G6" s="24"/>
      <c r="H6" s="24"/>
      <c r="I6" s="24"/>
      <c r="J6" s="93"/>
      <c r="K6" s="24"/>
      <c r="L6" s="24"/>
      <c r="M6" s="25"/>
      <c r="N6" s="93"/>
      <c r="O6" s="24"/>
      <c r="P6" s="24"/>
      <c r="Q6" s="25"/>
    </row>
    <row r="7" spans="1:17" ht="13">
      <c r="A7" s="50"/>
      <c r="B7" s="93"/>
      <c r="C7" s="24"/>
      <c r="D7" s="24"/>
      <c r="E7" s="25"/>
      <c r="F7" s="24"/>
      <c r="G7" s="24"/>
      <c r="H7" s="24"/>
      <c r="I7" s="24"/>
      <c r="J7" s="93"/>
      <c r="K7" s="24"/>
      <c r="L7" s="24"/>
      <c r="M7" s="25"/>
      <c r="N7" s="93"/>
      <c r="O7" s="24"/>
      <c r="P7" s="24"/>
      <c r="Q7" s="25"/>
    </row>
    <row r="8" spans="1:17" ht="13">
      <c r="A8" s="47" t="s">
        <v>14</v>
      </c>
      <c r="B8" s="224">
        <f>'[6]M-L C&amp;I Cust Cost Summary '!B8</f>
        <v>12141.748476159441</v>
      </c>
      <c r="C8" s="225">
        <f>'[6]M-L C&amp;I Cust Cost Summary '!C8</f>
        <v>34750.89869098374</v>
      </c>
      <c r="D8" s="225"/>
      <c r="E8" s="226">
        <f>'[6]M-L C&amp;I Cust Cost Summary '!E8</f>
        <v>12757.909371818199</v>
      </c>
      <c r="F8" s="225">
        <f>'[6]M-L C&amp;I Cust Cost Summary '!F8</f>
        <v>0</v>
      </c>
      <c r="G8" s="225">
        <f>'[6]M-L C&amp;I Cust Cost Summary '!G8</f>
        <v>0</v>
      </c>
      <c r="H8" s="225">
        <f>'[6]M-L C&amp;I Cust Cost Summary '!H8</f>
        <v>0</v>
      </c>
      <c r="I8" s="225">
        <f>'[6]M-L C&amp;I Cust Cost Summary '!I8</f>
        <v>0</v>
      </c>
      <c r="J8" s="224">
        <f>'[6]M-L C&amp;I Cust Cost Summary '!J8</f>
        <v>0</v>
      </c>
      <c r="K8" s="225">
        <f>'[6]M-L C&amp;I Cust Cost Summary '!K8</f>
        <v>0</v>
      </c>
      <c r="L8" s="225">
        <f>'[6]M-L C&amp;I Cust Cost Summary '!L8</f>
        <v>0</v>
      </c>
      <c r="M8" s="226">
        <f>'[6]M-L C&amp;I Cust Cost Summary '!M8</f>
        <v>0</v>
      </c>
      <c r="N8" s="224">
        <f>'[6]M-L C&amp;I Cust Cost Summary '!N8</f>
        <v>12025.262465042153</v>
      </c>
      <c r="O8" s="225">
        <f>'[6]M-L C&amp;I Cust Cost Summary '!O8</f>
        <v>23978.120096778781</v>
      </c>
      <c r="P8" s="225">
        <f>'[6]M-L C&amp;I Cust Cost Summary '!P8</f>
        <v>0</v>
      </c>
      <c r="Q8" s="226">
        <f>'[6]M-L C&amp;I Cust Cost Summary '!Q8</f>
        <v>12482.523340881857</v>
      </c>
    </row>
    <row r="9" spans="1:17" ht="13">
      <c r="A9" s="47" t="s">
        <v>15</v>
      </c>
      <c r="B9" s="224">
        <f>'[6]M-L C&amp;I Cust Cost Summary '!B9</f>
        <v>1493.1150761089202</v>
      </c>
      <c r="C9" s="225">
        <f>'[6]M-L C&amp;I Cust Cost Summary '!C9</f>
        <v>9478.533903872054</v>
      </c>
      <c r="D9" s="225"/>
      <c r="E9" s="226">
        <f>'[6]M-L C&amp;I Cust Cost Summary '!E9</f>
        <v>1710.739479077356</v>
      </c>
      <c r="F9" s="225">
        <f>'[6]M-L C&amp;I Cust Cost Summary '!F9</f>
        <v>3396.4220443713425</v>
      </c>
      <c r="G9" s="225">
        <f>'[6]M-L C&amp;I Cust Cost Summary '!G9</f>
        <v>4662.2081959829256</v>
      </c>
      <c r="H9" s="225">
        <f>'[6]M-L C&amp;I Cust Cost Summary '!H9</f>
        <v>8434.7473145115619</v>
      </c>
      <c r="I9" s="225">
        <f>'[6]M-L C&amp;I Cust Cost Summary '!I9</f>
        <v>4139.7815104576048</v>
      </c>
      <c r="J9" s="224">
        <f>'[6]M-L C&amp;I Cust Cost Summary '!J9</f>
        <v>63938.271373770483</v>
      </c>
      <c r="K9" s="225">
        <f>'[6]M-L C&amp;I Cust Cost Summary '!K9</f>
        <v>104587.15812026567</v>
      </c>
      <c r="L9" s="225">
        <f>'[6]M-L C&amp;I Cust Cost Summary '!L9</f>
        <v>158785.67378225925</v>
      </c>
      <c r="M9" s="226">
        <f>'[6]M-L C&amp;I Cust Cost Summary '!M9</f>
        <v>101877.232337166</v>
      </c>
      <c r="N9" s="224">
        <f>'[6]M-L C&amp;I Cust Cost Summary '!N9</f>
        <v>1535.7212235786519</v>
      </c>
      <c r="O9" s="225">
        <f>'[6]M-L C&amp;I Cust Cost Summary '!O9</f>
        <v>9983.9719329120835</v>
      </c>
      <c r="P9" s="225">
        <f>'[6]M-L C&amp;I Cust Cost Summary '!P9</f>
        <v>94349.56243893881</v>
      </c>
      <c r="Q9" s="226">
        <f>'[6]M-L C&amp;I Cust Cost Summary '!Q9</f>
        <v>1898.0637423509229</v>
      </c>
    </row>
    <row r="10" spans="1:17" ht="13">
      <c r="A10" s="47" t="s">
        <v>16</v>
      </c>
      <c r="B10" s="224">
        <f>'[6]M-L C&amp;I Cust Cost Summary '!B10</f>
        <v>458.81454599548113</v>
      </c>
      <c r="C10" s="225">
        <f>'[6]M-L C&amp;I Cust Cost Summary '!C10</f>
        <v>939.3830102866084</v>
      </c>
      <c r="D10" s="225"/>
      <c r="E10" s="226">
        <f>'[6]M-L C&amp;I Cust Cost Summary '!E10</f>
        <v>471.91134497153553</v>
      </c>
      <c r="F10" s="225">
        <f>'[6]M-L C&amp;I Cust Cost Summary '!F10</f>
        <v>1028.0573267477946</v>
      </c>
      <c r="G10" s="225">
        <f>'[6]M-L C&amp;I Cust Cost Summary '!G10</f>
        <v>1050.2259058630916</v>
      </c>
      <c r="H10" s="225">
        <f>'[6]M-L C&amp;I Cust Cost Summary '!H10</f>
        <v>1050.2259058630914</v>
      </c>
      <c r="I10" s="225">
        <f>'[6]M-L C&amp;I Cust Cost Summary '!I10</f>
        <v>1040.5347237361857</v>
      </c>
      <c r="J10" s="224">
        <f>'[6]M-L C&amp;I Cust Cost Summary '!J10</f>
        <v>1050.2259058630914</v>
      </c>
      <c r="K10" s="225">
        <f>'[6]M-L C&amp;I Cust Cost Summary '!K10</f>
        <v>1050.2259058630914</v>
      </c>
      <c r="L10" s="225">
        <f>'[6]M-L C&amp;I Cust Cost Summary '!L10</f>
        <v>1050.2259058630914</v>
      </c>
      <c r="M10" s="226">
        <f>'[6]M-L C&amp;I Cust Cost Summary '!M10</f>
        <v>1050.2259058630916</v>
      </c>
      <c r="N10" s="224">
        <f>'[6]M-L C&amp;I Cust Cost Summary '!N10</f>
        <v>464.28468584953089</v>
      </c>
      <c r="O10" s="225">
        <f>'[6]M-L C&amp;I Cust Cost Summary '!O10</f>
        <v>973.74430791531779</v>
      </c>
      <c r="P10" s="225">
        <f>'[6]M-L C&amp;I Cust Cost Summary '!P10</f>
        <v>1050.2259058630914</v>
      </c>
      <c r="Q10" s="226">
        <f>'[6]M-L C&amp;I Cust Cost Summary '!Q10</f>
        <v>484.1987481210416</v>
      </c>
    </row>
    <row r="11" spans="1:17" ht="13">
      <c r="A11" s="11" t="s">
        <v>83</v>
      </c>
      <c r="B11" s="341">
        <f>'[5]M-L C&amp;I Cust Cost Summary '!B10</f>
        <v>452.41878608688921</v>
      </c>
      <c r="C11" s="218">
        <f>'[5]M-L C&amp;I Cust Cost Summary '!C10</f>
        <v>928.11620551141743</v>
      </c>
      <c r="D11" s="218"/>
      <c r="E11" s="218">
        <f>'[5]M-L C&amp;I Cust Cost Summary '!E10</f>
        <v>465.38283582914767</v>
      </c>
      <c r="F11" s="341">
        <f>'[5]M-L C&amp;I Cust Cost Summary '!F10</f>
        <v>1016.2289366878597</v>
      </c>
      <c r="G11" s="218">
        <f>'[5]M-L C&amp;I Cust Cost Summary '!G10</f>
        <v>1038.2571194819702</v>
      </c>
      <c r="H11" s="218">
        <f>'[5]M-L C&amp;I Cust Cost Summary '!H10</f>
        <v>1038.2571194819702</v>
      </c>
      <c r="I11" s="218">
        <f>'[5]M-L C&amp;I Cust Cost Summary '!I10</f>
        <v>1028.6273127960201</v>
      </c>
      <c r="J11" s="341">
        <f>'[5]M-L C&amp;I Cust Cost Summary '!J10</f>
        <v>1038.2571194819702</v>
      </c>
      <c r="K11" s="218">
        <f>'[5]M-L C&amp;I Cust Cost Summary '!K10</f>
        <v>1038.2571194819702</v>
      </c>
      <c r="L11" s="218">
        <f>'[5]M-L C&amp;I Cust Cost Summary '!L10</f>
        <v>1038.2571194819702</v>
      </c>
      <c r="M11" s="218">
        <f>'[5]M-L C&amp;I Cust Cost Summary '!M10</f>
        <v>1038.2571194819702</v>
      </c>
      <c r="N11" s="341">
        <f>'[5]M-L C&amp;I Cust Cost Summary '!N10</f>
        <v>457.83674968945832</v>
      </c>
      <c r="O11" s="218">
        <f>'[5]M-L C&amp;I Cust Cost Summary '!O10</f>
        <v>962.25988884228934</v>
      </c>
      <c r="P11" s="218">
        <f>'[5]M-L C&amp;I Cust Cost Summary '!P10</f>
        <v>1038.2571194819702</v>
      </c>
      <c r="Q11" s="219">
        <f>'[5]M-L C&amp;I Cust Cost Summary '!Q10</f>
        <v>477.55404791158088</v>
      </c>
    </row>
    <row r="12" spans="1:17" ht="13">
      <c r="A12" s="51"/>
      <c r="B12" s="93"/>
      <c r="C12" s="24"/>
      <c r="D12" s="24"/>
      <c r="E12" s="118"/>
      <c r="F12" s="24"/>
      <c r="G12" s="24"/>
      <c r="H12" s="24"/>
      <c r="I12" s="24"/>
      <c r="J12" s="93"/>
      <c r="K12" s="24"/>
      <c r="L12" s="24"/>
      <c r="M12" s="25"/>
      <c r="N12" s="93"/>
      <c r="O12" s="24"/>
      <c r="P12" s="24"/>
      <c r="Q12" s="25"/>
    </row>
    <row r="13" spans="1:17" ht="13">
      <c r="A13" s="47" t="s">
        <v>17</v>
      </c>
      <c r="B13" s="93">
        <f t="shared" ref="B13:I13" si="0">SUM(B8:B10)</f>
        <v>14093.678098263843</v>
      </c>
      <c r="C13" s="24">
        <f t="shared" si="0"/>
        <v>45168.815605142401</v>
      </c>
      <c r="D13" s="24"/>
      <c r="E13" s="25">
        <f t="shared" si="0"/>
        <v>14940.56019586709</v>
      </c>
      <c r="F13" s="24">
        <f t="shared" si="0"/>
        <v>4424.4793711191369</v>
      </c>
      <c r="G13" s="24">
        <f t="shared" si="0"/>
        <v>5712.4341018460173</v>
      </c>
      <c r="H13" s="24">
        <f t="shared" si="0"/>
        <v>9484.9732203746535</v>
      </c>
      <c r="I13" s="24">
        <f t="shared" si="0"/>
        <v>5180.3162341937905</v>
      </c>
      <c r="J13" s="93">
        <f t="shared" ref="J13:Q13" si="1">SUM(J8:J10)</f>
        <v>64988.497279633571</v>
      </c>
      <c r="K13" s="24">
        <f t="shared" si="1"/>
        <v>105637.38402612876</v>
      </c>
      <c r="L13" s="24">
        <f t="shared" si="1"/>
        <v>159835.89968812236</v>
      </c>
      <c r="M13" s="25">
        <f t="shared" si="1"/>
        <v>102927.45824302909</v>
      </c>
      <c r="N13" s="93">
        <f t="shared" si="1"/>
        <v>14025.268374470335</v>
      </c>
      <c r="O13" s="24">
        <f t="shared" si="1"/>
        <v>34935.836337606182</v>
      </c>
      <c r="P13" s="24">
        <f t="shared" si="1"/>
        <v>95399.788344801898</v>
      </c>
      <c r="Q13" s="25">
        <f t="shared" si="1"/>
        <v>14864.785831353822</v>
      </c>
    </row>
    <row r="14" spans="1:17" ht="13">
      <c r="A14" s="11" t="s">
        <v>82</v>
      </c>
      <c r="B14" s="93">
        <f>B8+B9+B11</f>
        <v>14087.282338355251</v>
      </c>
      <c r="C14" s="24">
        <f t="shared" ref="C14:Q14" si="2">C8+C9+C11</f>
        <v>45157.548800367214</v>
      </c>
      <c r="D14" s="24"/>
      <c r="E14" s="25">
        <f t="shared" si="2"/>
        <v>14934.031686724704</v>
      </c>
      <c r="F14" s="24">
        <f>F8+F9+F11</f>
        <v>4412.6509810592024</v>
      </c>
      <c r="G14" s="24">
        <f t="shared" si="2"/>
        <v>5700.4653154648959</v>
      </c>
      <c r="H14" s="24">
        <f t="shared" si="2"/>
        <v>9473.0044339935321</v>
      </c>
      <c r="I14" s="24">
        <f t="shared" si="2"/>
        <v>5168.4088232536251</v>
      </c>
      <c r="J14" s="93">
        <f>J8+J9+J11</f>
        <v>64976.528493252452</v>
      </c>
      <c r="K14" s="24">
        <f t="shared" si="2"/>
        <v>105625.41523974764</v>
      </c>
      <c r="L14" s="24">
        <f t="shared" si="2"/>
        <v>159823.93090174123</v>
      </c>
      <c r="M14" s="25">
        <f t="shared" si="2"/>
        <v>102915.48945664798</v>
      </c>
      <c r="N14" s="93">
        <f>N8+N9+N11</f>
        <v>14018.820438310264</v>
      </c>
      <c r="O14" s="24">
        <f t="shared" si="2"/>
        <v>34924.351918533153</v>
      </c>
      <c r="P14" s="24">
        <f t="shared" si="2"/>
        <v>95387.819558420786</v>
      </c>
      <c r="Q14" s="25">
        <f t="shared" si="2"/>
        <v>14858.141131144361</v>
      </c>
    </row>
    <row r="15" spans="1:17" ht="13">
      <c r="A15" s="11"/>
      <c r="B15" s="93"/>
      <c r="C15" s="24"/>
      <c r="D15" s="24"/>
      <c r="E15" s="25"/>
      <c r="F15" s="24"/>
      <c r="G15" s="24"/>
      <c r="H15" s="24"/>
      <c r="I15" s="24"/>
      <c r="J15" s="93"/>
      <c r="K15" s="24"/>
      <c r="L15" s="24"/>
      <c r="M15" s="25"/>
      <c r="N15" s="93"/>
      <c r="O15" s="24"/>
      <c r="P15" s="24"/>
      <c r="Q15" s="25"/>
    </row>
    <row r="16" spans="1:17" ht="13">
      <c r="A16" s="47" t="s">
        <v>25</v>
      </c>
      <c r="B16" s="93"/>
      <c r="C16" s="24"/>
      <c r="D16" s="24"/>
      <c r="E16" s="25"/>
      <c r="F16" s="24"/>
      <c r="G16" s="24"/>
      <c r="H16" s="24"/>
      <c r="I16" s="24"/>
      <c r="J16" s="93"/>
      <c r="K16" s="24"/>
      <c r="L16" s="24"/>
      <c r="M16" s="25"/>
      <c r="N16" s="93"/>
      <c r="O16" s="24"/>
      <c r="P16" s="24"/>
      <c r="Q16" s="25"/>
    </row>
    <row r="17" spans="1:17" ht="13">
      <c r="A17" s="52">
        <f>Input!B3</f>
        <v>2.7723662892949787E-2</v>
      </c>
      <c r="B17" s="93"/>
      <c r="C17" s="24"/>
      <c r="D17" s="24"/>
      <c r="E17" s="25"/>
      <c r="F17" s="24"/>
      <c r="G17" s="24"/>
      <c r="H17" s="24"/>
      <c r="I17" s="24"/>
      <c r="J17" s="93"/>
      <c r="K17" s="24"/>
      <c r="L17" s="24"/>
      <c r="M17" s="25"/>
      <c r="N17" s="93"/>
      <c r="O17" s="24"/>
      <c r="P17" s="24"/>
      <c r="Q17" s="25"/>
    </row>
    <row r="18" spans="1:17" ht="13">
      <c r="A18" s="47" t="s">
        <v>26</v>
      </c>
      <c r="B18" s="93"/>
      <c r="C18" s="24"/>
      <c r="D18" s="24"/>
      <c r="E18" s="25"/>
      <c r="F18" s="24"/>
      <c r="G18" s="24"/>
      <c r="H18" s="24"/>
      <c r="I18" s="24"/>
      <c r="J18" s="93"/>
      <c r="K18" s="24"/>
      <c r="L18" s="24"/>
      <c r="M18" s="25"/>
      <c r="N18" s="93"/>
      <c r="O18" s="24"/>
      <c r="P18" s="24"/>
      <c r="Q18" s="25"/>
    </row>
    <row r="19" spans="1:17" ht="13">
      <c r="A19" s="52">
        <f>Input!B4</f>
        <v>1.5023E-2</v>
      </c>
      <c r="B19" s="93"/>
      <c r="C19" s="24"/>
      <c r="D19" s="24"/>
      <c r="E19" s="25"/>
      <c r="F19" s="24"/>
      <c r="G19" s="24"/>
      <c r="H19" s="24"/>
      <c r="I19" s="24"/>
      <c r="J19" s="93"/>
      <c r="K19" s="24"/>
      <c r="L19" s="24"/>
      <c r="M19" s="25"/>
      <c r="N19" s="93"/>
      <c r="O19" s="24"/>
      <c r="P19" s="24"/>
      <c r="Q19" s="25"/>
    </row>
    <row r="20" spans="1:17" ht="13">
      <c r="A20" s="21" t="s">
        <v>27</v>
      </c>
      <c r="B20" s="93">
        <f t="shared" ref="B20:C22" si="3">(B8*(1+$A$17)*(1+$A$19))</f>
        <v>12665.824653442136</v>
      </c>
      <c r="C20" s="24">
        <f t="shared" si="3"/>
        <v>36250.857134272919</v>
      </c>
      <c r="D20" s="24"/>
      <c r="E20" s="25">
        <f t="shared" ref="E20:Q20" si="4">(E8*(1+$A$17)*(1+$A$19))</f>
        <v>13308.580997641271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93">
        <f t="shared" si="4"/>
        <v>0</v>
      </c>
      <c r="K20" s="24">
        <f t="shared" si="4"/>
        <v>0</v>
      </c>
      <c r="L20" s="24">
        <f t="shared" si="4"/>
        <v>0</v>
      </c>
      <c r="M20" s="25">
        <f t="shared" si="4"/>
        <v>0</v>
      </c>
      <c r="N20" s="93">
        <f t="shared" si="4"/>
        <v>12544.310738515678</v>
      </c>
      <c r="O20" s="24">
        <f t="shared" si="4"/>
        <v>25013.091422648318</v>
      </c>
      <c r="P20" s="24">
        <f t="shared" si="4"/>
        <v>0</v>
      </c>
      <c r="Q20" s="25">
        <f t="shared" si="4"/>
        <v>13021.308436634441</v>
      </c>
    </row>
    <row r="21" spans="1:17" ht="13">
      <c r="A21" s="21" t="s">
        <v>15</v>
      </c>
      <c r="B21" s="93">
        <f t="shared" si="3"/>
        <v>1557.5626342894234</v>
      </c>
      <c r="C21" s="24">
        <f t="shared" si="3"/>
        <v>9887.6573364929318</v>
      </c>
      <c r="D21" s="24"/>
      <c r="E21" s="25">
        <f t="shared" ref="E21:Q21" si="5">(E9*(1+$A$17)*(1+$A$19))</f>
        <v>1784.5803931995565</v>
      </c>
      <c r="F21" s="24">
        <f t="shared" si="5"/>
        <v>3543.0223371502479</v>
      </c>
      <c r="G21" s="24">
        <f t="shared" si="5"/>
        <v>4863.4438132290206</v>
      </c>
      <c r="H21" s="24">
        <f t="shared" si="5"/>
        <v>8798.8176242873196</v>
      </c>
      <c r="I21" s="24">
        <f t="shared" si="5"/>
        <v>4318.467543449161</v>
      </c>
      <c r="J21" s="93">
        <f t="shared" si="5"/>
        <v>66698.048922236732</v>
      </c>
      <c r="K21" s="24">
        <f t="shared" si="5"/>
        <v>109101.46988748381</v>
      </c>
      <c r="L21" s="24">
        <f t="shared" si="5"/>
        <v>165639.36450781324</v>
      </c>
      <c r="M21" s="25">
        <f t="shared" si="5"/>
        <v>106274.57515646736</v>
      </c>
      <c r="N21" s="93">
        <f t="shared" si="5"/>
        <v>1602.0077975268202</v>
      </c>
      <c r="O21" s="24">
        <f t="shared" si="5"/>
        <v>10414.911665766222</v>
      </c>
      <c r="P21" s="24">
        <f t="shared" si="5"/>
        <v>98421.987272016413</v>
      </c>
      <c r="Q21" s="25">
        <f t="shared" si="5"/>
        <v>1979.9901627740876</v>
      </c>
    </row>
    <row r="22" spans="1:17" ht="13">
      <c r="A22" s="21" t="s">
        <v>16</v>
      </c>
      <c r="B22" s="93">
        <f t="shared" si="3"/>
        <v>478.61842958104069</v>
      </c>
      <c r="C22" s="24">
        <f t="shared" si="3"/>
        <v>979.92974521543454</v>
      </c>
      <c r="D22" s="24"/>
      <c r="E22" s="25">
        <f t="shared" ref="E22:Q22" si="6">(E10*(1+$A$17)*(1+$A$19))</f>
        <v>492.28052772759656</v>
      </c>
      <c r="F22" s="24">
        <f t="shared" si="6"/>
        <v>1072.43152498517</v>
      </c>
      <c r="G22" s="24">
        <f t="shared" si="6"/>
        <v>1095.5569699276043</v>
      </c>
      <c r="H22" s="24">
        <f t="shared" si="6"/>
        <v>1095.5569699276041</v>
      </c>
      <c r="I22" s="24">
        <f t="shared" si="6"/>
        <v>1085.4474857997641</v>
      </c>
      <c r="J22" s="93">
        <f t="shared" si="6"/>
        <v>1095.5569699276041</v>
      </c>
      <c r="K22" s="24">
        <f t="shared" si="6"/>
        <v>1095.5569699276041</v>
      </c>
      <c r="L22" s="24">
        <f t="shared" si="6"/>
        <v>1095.5569699276041</v>
      </c>
      <c r="M22" s="25">
        <f t="shared" si="6"/>
        <v>1095.5569699276043</v>
      </c>
      <c r="N22" s="93">
        <f t="shared" si="6"/>
        <v>484.32467793211134</v>
      </c>
      <c r="O22" s="24">
        <f t="shared" si="6"/>
        <v>1015.7741848762067</v>
      </c>
      <c r="P22" s="24">
        <f t="shared" si="6"/>
        <v>1095.5569699276041</v>
      </c>
      <c r="Q22" s="25">
        <f t="shared" si="6"/>
        <v>505.09829396969747</v>
      </c>
    </row>
    <row r="23" spans="1:17" ht="13">
      <c r="A23" s="11" t="s">
        <v>83</v>
      </c>
      <c r="B23" s="93">
        <f>(B11*(1+$A$17)*(1+$A$19))</f>
        <v>471.9466084930977</v>
      </c>
      <c r="C23" s="24">
        <f t="shared" ref="C23:Q23" si="7">(C11*(1+$A$17)*(1+$A$19))</f>
        <v>968.1766295939625</v>
      </c>
      <c r="D23" s="24"/>
      <c r="E23" s="25">
        <f t="shared" si="7"/>
        <v>485.47022753003938</v>
      </c>
      <c r="F23" s="24">
        <f>(F11*(1+$A$17)*(1+$A$19))</f>
        <v>1060.0925842859931</v>
      </c>
      <c r="G23" s="24">
        <f t="shared" si="7"/>
        <v>1083.0715729590006</v>
      </c>
      <c r="H23" s="24">
        <f t="shared" si="7"/>
        <v>1083.0715729590006</v>
      </c>
      <c r="I23" s="24">
        <f t="shared" si="7"/>
        <v>1073.0261134298166</v>
      </c>
      <c r="J23" s="93">
        <f>(J11*(1+$A$17)*(1+$A$19))</f>
        <v>1083.0715729590006</v>
      </c>
      <c r="K23" s="24">
        <f t="shared" si="7"/>
        <v>1083.0715729590006</v>
      </c>
      <c r="L23" s="24">
        <f t="shared" si="7"/>
        <v>1083.0715729590006</v>
      </c>
      <c r="M23" s="25">
        <f t="shared" si="7"/>
        <v>1083.0715729590006</v>
      </c>
      <c r="N23" s="93">
        <f>(N11*(1+$A$17)*(1+$A$19))</f>
        <v>477.59842850103263</v>
      </c>
      <c r="O23" s="24">
        <f t="shared" si="7"/>
        <v>1003.7940620371249</v>
      </c>
      <c r="P23" s="24">
        <f t="shared" si="7"/>
        <v>1083.0715729590006</v>
      </c>
      <c r="Q23" s="25">
        <f t="shared" si="7"/>
        <v>498.16678753197391</v>
      </c>
    </row>
    <row r="24" spans="1:17" ht="13">
      <c r="A24" s="47"/>
      <c r="B24" s="175"/>
      <c r="C24" s="94"/>
      <c r="D24" s="94"/>
      <c r="E24" s="95"/>
      <c r="F24" s="94"/>
      <c r="G24" s="94"/>
      <c r="H24" s="94"/>
      <c r="I24" s="94"/>
      <c r="J24" s="175"/>
      <c r="K24" s="94"/>
      <c r="L24" s="94"/>
      <c r="M24" s="95"/>
      <c r="N24" s="175"/>
      <c r="O24" s="94"/>
      <c r="P24" s="94"/>
      <c r="Q24" s="95"/>
    </row>
    <row r="25" spans="1:17" ht="13">
      <c r="A25" s="47" t="s">
        <v>17</v>
      </c>
      <c r="B25" s="175">
        <f t="shared" ref="B25:Q25" si="8">B20+B21+B22</f>
        <v>14702.005717312599</v>
      </c>
      <c r="C25" s="94">
        <f t="shared" si="8"/>
        <v>47118.444215981282</v>
      </c>
      <c r="D25" s="94"/>
      <c r="E25" s="95">
        <f t="shared" si="8"/>
        <v>15585.441918568424</v>
      </c>
      <c r="F25" s="94">
        <f t="shared" si="8"/>
        <v>4615.4538621354177</v>
      </c>
      <c r="G25" s="94">
        <f t="shared" si="8"/>
        <v>5959.0007831566254</v>
      </c>
      <c r="H25" s="94">
        <f t="shared" si="8"/>
        <v>9894.3745942149235</v>
      </c>
      <c r="I25" s="94">
        <f t="shared" si="8"/>
        <v>5403.9150292489248</v>
      </c>
      <c r="J25" s="175">
        <f t="shared" si="8"/>
        <v>67793.605892164342</v>
      </c>
      <c r="K25" s="94">
        <f t="shared" si="8"/>
        <v>110197.02685741142</v>
      </c>
      <c r="L25" s="94">
        <f t="shared" si="8"/>
        <v>166734.92147774083</v>
      </c>
      <c r="M25" s="95">
        <f t="shared" si="8"/>
        <v>107370.13212639496</v>
      </c>
      <c r="N25" s="175">
        <f t="shared" si="8"/>
        <v>14630.643213974608</v>
      </c>
      <c r="O25" s="94">
        <f t="shared" si="8"/>
        <v>36443.777273290747</v>
      </c>
      <c r="P25" s="94">
        <f t="shared" si="8"/>
        <v>99517.544241944022</v>
      </c>
      <c r="Q25" s="95">
        <f t="shared" si="8"/>
        <v>15506.396893378225</v>
      </c>
    </row>
    <row r="26" spans="1:17" ht="13">
      <c r="A26" s="11" t="s">
        <v>82</v>
      </c>
      <c r="B26" s="93">
        <f>B20+B21+B23</f>
        <v>14695.333896224656</v>
      </c>
      <c r="C26" s="24">
        <f t="shared" ref="C26:E26" si="9">C20+C21+C23</f>
        <v>47106.691100359807</v>
      </c>
      <c r="D26" s="24"/>
      <c r="E26" s="25">
        <f t="shared" si="9"/>
        <v>15578.631618370866</v>
      </c>
      <c r="F26" s="24">
        <f>F20+F21+F23</f>
        <v>4603.1149214362413</v>
      </c>
      <c r="G26" s="24">
        <f t="shared" ref="G26:I26" si="10">G20+G21+G23</f>
        <v>5946.5153861880208</v>
      </c>
      <c r="H26" s="24">
        <f t="shared" si="10"/>
        <v>9881.8891972463207</v>
      </c>
      <c r="I26" s="24">
        <f t="shared" si="10"/>
        <v>5391.4936568789781</v>
      </c>
      <c r="J26" s="93">
        <f>J20+J21+J23</f>
        <v>67781.120495195733</v>
      </c>
      <c r="K26" s="24">
        <f t="shared" ref="K26:M26" si="11">K20+K21+K23</f>
        <v>110184.54146044281</v>
      </c>
      <c r="L26" s="24">
        <f t="shared" si="11"/>
        <v>166722.43608077223</v>
      </c>
      <c r="M26" s="25">
        <f t="shared" si="11"/>
        <v>107357.64672942636</v>
      </c>
      <c r="N26" s="93">
        <f>N20+N21+N23</f>
        <v>14623.91696454353</v>
      </c>
      <c r="O26" s="24">
        <f t="shared" ref="O26:Q26" si="12">O20+O21+O23</f>
        <v>36431.797150451661</v>
      </c>
      <c r="P26" s="24">
        <f t="shared" si="12"/>
        <v>99505.058844975414</v>
      </c>
      <c r="Q26" s="25">
        <f t="shared" si="12"/>
        <v>15499.465386940503</v>
      </c>
    </row>
    <row r="27" spans="1:17" ht="13">
      <c r="A27" s="47"/>
      <c r="B27" s="175"/>
      <c r="C27" s="94"/>
      <c r="D27" s="94"/>
      <c r="E27" s="95"/>
      <c r="F27" s="94"/>
      <c r="G27" s="94"/>
      <c r="H27" s="94"/>
      <c r="I27" s="94"/>
      <c r="J27" s="175"/>
      <c r="K27" s="94"/>
      <c r="L27" s="94"/>
      <c r="M27" s="95"/>
      <c r="N27" s="175"/>
      <c r="O27" s="94"/>
      <c r="P27" s="94"/>
      <c r="Q27" s="95"/>
    </row>
    <row r="28" spans="1:17" ht="13">
      <c r="A28" s="21" t="s">
        <v>20</v>
      </c>
      <c r="B28" s="175"/>
      <c r="C28" s="94"/>
      <c r="D28" s="94"/>
      <c r="E28" s="95"/>
      <c r="F28" s="94"/>
      <c r="G28" s="94"/>
      <c r="H28" s="94"/>
      <c r="I28" s="94"/>
      <c r="J28" s="175"/>
      <c r="K28" s="94"/>
      <c r="L28" s="94"/>
      <c r="M28" s="95"/>
      <c r="N28" s="175"/>
      <c r="O28" s="94"/>
      <c r="P28" s="94"/>
      <c r="Q28" s="95"/>
    </row>
    <row r="29" spans="1:17" ht="13">
      <c r="A29" s="21" t="s">
        <v>128</v>
      </c>
      <c r="B29" s="175">
        <f>B20*Input!$B$8</f>
        <v>15675.277460223553</v>
      </c>
      <c r="C29" s="94">
        <f>C20*Input!$B$8</f>
        <v>44864.212106096362</v>
      </c>
      <c r="D29" s="94"/>
      <c r="E29" s="95">
        <f>E20*Input!$B$8</f>
        <v>16470.755394769429</v>
      </c>
      <c r="F29" s="94">
        <f>F20*Input!$B$8</f>
        <v>0</v>
      </c>
      <c r="G29" s="94">
        <f>G20*Input!$B$8</f>
        <v>0</v>
      </c>
      <c r="H29" s="94">
        <f>H20*Input!$B$8</f>
        <v>0</v>
      </c>
      <c r="I29" s="94">
        <f>I20*Input!$B$8</f>
        <v>0</v>
      </c>
      <c r="J29" s="175">
        <f>J20*Input!$B$8</f>
        <v>0</v>
      </c>
      <c r="K29" s="94">
        <f>K20*Input!$B$8</f>
        <v>0</v>
      </c>
      <c r="L29" s="94">
        <f>L20*Input!$B$8</f>
        <v>0</v>
      </c>
      <c r="M29" s="95">
        <f>M20*Input!$B$8</f>
        <v>0</v>
      </c>
      <c r="N29" s="175">
        <f>N20*Input!$B$8</f>
        <v>15524.891331892573</v>
      </c>
      <c r="O29" s="94">
        <f>O20*Input!$B$8</f>
        <v>30956.306353206495</v>
      </c>
      <c r="P29" s="94">
        <f>P20*Input!$B$8</f>
        <v>0</v>
      </c>
      <c r="Q29" s="95">
        <f>Q20*Input!$B$8</f>
        <v>16115.225674146992</v>
      </c>
    </row>
    <row r="30" spans="1:17" ht="13">
      <c r="A30" s="21" t="s">
        <v>129</v>
      </c>
      <c r="B30" s="175">
        <f>B21*Input!$B$9</f>
        <v>1920.0747790476848</v>
      </c>
      <c r="C30" s="94">
        <f>C21*Input!$B$9</f>
        <v>12188.942555319494</v>
      </c>
      <c r="D30" s="94"/>
      <c r="E30" s="95">
        <f>E21*Input!$B$9</f>
        <v>2199.9293824409747</v>
      </c>
      <c r="F30" s="94">
        <f>F21*Input!$B$9</f>
        <v>4367.6367687571774</v>
      </c>
      <c r="G30" s="94">
        <f>G21*Input!$B$9</f>
        <v>5995.3773925481446</v>
      </c>
      <c r="H30" s="94">
        <f>H21*Input!$B$9</f>
        <v>10846.682781101608</v>
      </c>
      <c r="I30" s="94">
        <f>I21*Input!$B$9</f>
        <v>5323.5615902506197</v>
      </c>
      <c r="J30" s="175">
        <f>J21*Input!$B$9</f>
        <v>82221.567677565719</v>
      </c>
      <c r="K30" s="94">
        <f>K21*Input!$B$9</f>
        <v>134494.09742906198</v>
      </c>
      <c r="L30" s="94">
        <f>L21*Input!$B$9</f>
        <v>204190.80376439029</v>
      </c>
      <c r="M30" s="95">
        <f>M21*Input!$B$9</f>
        <v>131009.26211229558</v>
      </c>
      <c r="N30" s="175">
        <f>N21*Input!$B$9</f>
        <v>1974.8642527446546</v>
      </c>
      <c r="O30" s="94">
        <f>O21*Input!$B$9</f>
        <v>12838.91175559066</v>
      </c>
      <c r="P30" s="94">
        <f>P21*Input!$B$9</f>
        <v>121329.03762869514</v>
      </c>
      <c r="Q30" s="95">
        <f>Q21*Input!$B$9</f>
        <v>2440.8194512443702</v>
      </c>
    </row>
    <row r="31" spans="1:17" ht="13">
      <c r="A31" s="21" t="s">
        <v>138</v>
      </c>
      <c r="B31" s="175">
        <f>B22*Input!$B$13</f>
        <v>515.35543426509673</v>
      </c>
      <c r="C31" s="94">
        <f>C22*Input!$B$13</f>
        <v>1055.1455777347498</v>
      </c>
      <c r="D31" s="94"/>
      <c r="E31" s="95">
        <f>E22*Input!$B$13</f>
        <v>530.06618522688882</v>
      </c>
      <c r="F31" s="94">
        <f>F22*Input!$B$13</f>
        <v>1154.7474566788087</v>
      </c>
      <c r="G31" s="94">
        <f>G22*Input!$B$13</f>
        <v>1179.647926414824</v>
      </c>
      <c r="H31" s="94">
        <f>H22*Input!$B$13</f>
        <v>1179.6479264148238</v>
      </c>
      <c r="I31" s="94">
        <f>I22*Input!$B$13</f>
        <v>1168.7624751641067</v>
      </c>
      <c r="J31" s="175">
        <f>J22*Input!$B$13</f>
        <v>1179.6479264148238</v>
      </c>
      <c r="K31" s="94">
        <f>K22*Input!$B$13</f>
        <v>1179.6479264148238</v>
      </c>
      <c r="L31" s="94">
        <f>L22*Input!$B$13</f>
        <v>1179.6479264148238</v>
      </c>
      <c r="M31" s="95">
        <f>M22*Input!$B$13</f>
        <v>1179.647926414824</v>
      </c>
      <c r="N31" s="175">
        <f>N22*Input!$B$13</f>
        <v>521.49967342355274</v>
      </c>
      <c r="O31" s="94">
        <f>O22*Input!$B$13</f>
        <v>1093.7413058255725</v>
      </c>
      <c r="P31" s="94">
        <f>P22*Input!$B$13</f>
        <v>1179.6479264148238</v>
      </c>
      <c r="Q31" s="95">
        <f>Q22*Input!$B$13</f>
        <v>543.86779644731075</v>
      </c>
    </row>
    <row r="32" spans="1:17" ht="13">
      <c r="A32" s="21" t="s">
        <v>139</v>
      </c>
      <c r="B32" s="175">
        <f>B23*Input!$B$13</f>
        <v>508.17150852883611</v>
      </c>
      <c r="C32" s="94">
        <f>C23*Input!$B$13</f>
        <v>1042.4903358328163</v>
      </c>
      <c r="D32" s="94"/>
      <c r="E32" s="95">
        <f>E23*Input!$B$13</f>
        <v>522.73315122972326</v>
      </c>
      <c r="F32" s="94">
        <f>F23*Input!$B$13</f>
        <v>1141.4614239032596</v>
      </c>
      <c r="G32" s="94">
        <f>G23*Input!$B$13</f>
        <v>1166.2041959208702</v>
      </c>
      <c r="H32" s="94">
        <f>H23*Input!$B$13</f>
        <v>1166.2041959208702</v>
      </c>
      <c r="I32" s="94">
        <f>I23*Input!$B$13</f>
        <v>1155.3876835634444</v>
      </c>
      <c r="J32" s="175">
        <f>J23*Input!$B$13</f>
        <v>1166.2041959208702</v>
      </c>
      <c r="K32" s="94">
        <f>K23*Input!$B$13</f>
        <v>1166.2041959208702</v>
      </c>
      <c r="L32" s="94">
        <f>L23*Input!$B$13</f>
        <v>1166.2041959208702</v>
      </c>
      <c r="M32" s="95">
        <f>M23*Input!$B$13</f>
        <v>1166.2041959208702</v>
      </c>
      <c r="N32" s="175">
        <f>N23*Input!$B$13</f>
        <v>514.2571416230885</v>
      </c>
      <c r="O32" s="94">
        <f>O23*Input!$B$13</f>
        <v>1080.8416324601137</v>
      </c>
      <c r="P32" s="94">
        <f>P23*Input!$B$13</f>
        <v>1166.2041959208702</v>
      </c>
      <c r="Q32" s="95">
        <f>Q23*Input!$B$13</f>
        <v>536.40425286113657</v>
      </c>
    </row>
    <row r="33" spans="1:19" ht="13">
      <c r="A33" s="47"/>
      <c r="B33" s="93"/>
      <c r="C33" s="24"/>
      <c r="D33" s="24"/>
      <c r="E33" s="25"/>
      <c r="F33" s="24"/>
      <c r="G33" s="24"/>
      <c r="H33" s="24"/>
      <c r="I33" s="24"/>
      <c r="J33" s="93"/>
      <c r="K33" s="24"/>
      <c r="L33" s="24"/>
      <c r="M33" s="25"/>
      <c r="N33" s="93"/>
      <c r="O33" s="24"/>
      <c r="P33" s="24"/>
      <c r="Q33" s="25"/>
    </row>
    <row r="34" spans="1:19" ht="13">
      <c r="A34" s="11" t="s">
        <v>17</v>
      </c>
      <c r="B34" s="177">
        <f>SUM(B29:B31)</f>
        <v>18110.707673536333</v>
      </c>
      <c r="C34" s="100">
        <f t="shared" ref="C34:E34" si="13">SUM(C29:C31)</f>
        <v>58108.300239150609</v>
      </c>
      <c r="D34" s="100"/>
      <c r="E34" s="101">
        <f t="shared" si="13"/>
        <v>19200.750962437294</v>
      </c>
      <c r="F34" s="100">
        <f>SUM(F29:F31)</f>
        <v>5522.3842254359861</v>
      </c>
      <c r="G34" s="100">
        <f t="shared" ref="G34:Q34" si="14">SUM(G29:G31)</f>
        <v>7175.0253189629684</v>
      </c>
      <c r="H34" s="100">
        <f t="shared" si="14"/>
        <v>12026.330707516432</v>
      </c>
      <c r="I34" s="100">
        <f t="shared" si="14"/>
        <v>6492.3240654147266</v>
      </c>
      <c r="J34" s="177">
        <f>SUM(J29:J31)</f>
        <v>83401.215603980541</v>
      </c>
      <c r="K34" s="100">
        <f t="shared" si="14"/>
        <v>135673.7453554768</v>
      </c>
      <c r="L34" s="100">
        <f t="shared" si="14"/>
        <v>205370.45169080512</v>
      </c>
      <c r="M34" s="101">
        <f t="shared" si="14"/>
        <v>132188.9100387104</v>
      </c>
      <c r="N34" s="177">
        <f>SUM(N29:N31)</f>
        <v>18021.255258060781</v>
      </c>
      <c r="O34" s="100">
        <f t="shared" si="14"/>
        <v>44888.959414622725</v>
      </c>
      <c r="P34" s="100">
        <f t="shared" si="14"/>
        <v>122508.68555510996</v>
      </c>
      <c r="Q34" s="101">
        <f t="shared" si="14"/>
        <v>19099.912921838673</v>
      </c>
    </row>
    <row r="35" spans="1:19" ht="13">
      <c r="A35" s="11" t="s">
        <v>82</v>
      </c>
      <c r="B35" s="177">
        <f>B29+B30+B32</f>
        <v>18103.523747800074</v>
      </c>
      <c r="C35" s="100">
        <f>C29+C30+C32</f>
        <v>58095.644997248673</v>
      </c>
      <c r="D35" s="100"/>
      <c r="E35" s="101">
        <f t="shared" ref="E35:Q35" si="15">E29+E30+E32</f>
        <v>19193.417928440129</v>
      </c>
      <c r="F35" s="100">
        <f t="shared" si="15"/>
        <v>5509.0981926604372</v>
      </c>
      <c r="G35" s="100">
        <f t="shared" si="15"/>
        <v>7161.5815884690146</v>
      </c>
      <c r="H35" s="100">
        <f t="shared" si="15"/>
        <v>12012.886977022479</v>
      </c>
      <c r="I35" s="100">
        <f t="shared" si="15"/>
        <v>6478.9492738140643</v>
      </c>
      <c r="J35" s="177">
        <f t="shared" si="15"/>
        <v>83387.771873486592</v>
      </c>
      <c r="K35" s="100">
        <f t="shared" si="15"/>
        <v>135660.30162498285</v>
      </c>
      <c r="L35" s="100">
        <f t="shared" si="15"/>
        <v>205357.00796031117</v>
      </c>
      <c r="M35" s="101">
        <f t="shared" si="15"/>
        <v>132175.46630821645</v>
      </c>
      <c r="N35" s="177">
        <f t="shared" si="15"/>
        <v>18014.012726260316</v>
      </c>
      <c r="O35" s="100">
        <f t="shared" si="15"/>
        <v>44876.059741257268</v>
      </c>
      <c r="P35" s="100">
        <f t="shared" si="15"/>
        <v>122495.24182461601</v>
      </c>
      <c r="Q35" s="101">
        <f t="shared" si="15"/>
        <v>19092.449378252499</v>
      </c>
    </row>
    <row r="36" spans="1:19" ht="13">
      <c r="A36" s="47"/>
      <c r="B36" s="93"/>
      <c r="C36" s="24"/>
      <c r="D36" s="24"/>
      <c r="E36" s="25"/>
      <c r="F36" s="24"/>
      <c r="G36" s="24"/>
      <c r="H36" s="24"/>
      <c r="I36" s="24"/>
      <c r="J36" s="93"/>
      <c r="K36" s="24"/>
      <c r="L36" s="24"/>
      <c r="M36" s="25"/>
      <c r="N36" s="93"/>
      <c r="O36" s="24"/>
      <c r="P36" s="24"/>
      <c r="Q36" s="25"/>
    </row>
    <row r="37" spans="1:19" ht="13">
      <c r="A37" s="11" t="s">
        <v>118</v>
      </c>
      <c r="B37" s="93">
        <f>'NCO Medium-Large C&amp;I Cust Fcst'!$M17</f>
        <v>20027.337917335946</v>
      </c>
      <c r="C37" s="24">
        <f>'NCO Medium-Large C&amp;I Cust Fcst'!$M18</f>
        <v>596.30751405605452</v>
      </c>
      <c r="D37" s="24"/>
      <c r="E37" s="25">
        <f>SUM(B37:D37)</f>
        <v>20623.645431392</v>
      </c>
      <c r="F37" s="24">
        <f>'NCO Medium-Large C&amp;I Cust Fcst'!$N17</f>
        <v>154.23961192320252</v>
      </c>
      <c r="G37" s="24">
        <f>'NCO Medium-Large C&amp;I Cust Fcst'!$N18</f>
        <v>229.83411073270187</v>
      </c>
      <c r="H37" s="24">
        <f>'NCO Medium-Large C&amp;I Cust Fcst'!$N19</f>
        <v>3.7968606730189571</v>
      </c>
      <c r="I37" s="24">
        <f>SUM(F37:H37)</f>
        <v>387.87058332892332</v>
      </c>
      <c r="J37" s="93">
        <f>'NCO Medium-Large C&amp;I Cust Fcst'!$O17</f>
        <v>11.391106170834087</v>
      </c>
      <c r="K37" s="24">
        <f>'NCO Medium-Large C&amp;I Cust Fcst'!$O18</f>
        <v>15.593490367933097</v>
      </c>
      <c r="L37" s="24">
        <f>'NCO Medium-Large C&amp;I Cust Fcst'!$O19</f>
        <v>4.4993887403118631</v>
      </c>
      <c r="M37" s="25">
        <f>SUM(J37:L37)</f>
        <v>31.48398527907905</v>
      </c>
      <c r="N37" s="93">
        <f>'NCO Medium-Large C&amp;I Cust Fcst'!$P17</f>
        <v>20192.968635429985</v>
      </c>
      <c r="O37" s="24">
        <f>'NCO Medium-Large C&amp;I Cust Fcst'!$P18</f>
        <v>841.73511515668952</v>
      </c>
      <c r="P37" s="24">
        <f>'NCO Medium-Large C&amp;I Cust Fcst'!$P19</f>
        <v>8.2962494133308198</v>
      </c>
      <c r="Q37" s="25">
        <f>SUM(N37:P37)</f>
        <v>21043.000000000007</v>
      </c>
    </row>
    <row r="38" spans="1:19" ht="13">
      <c r="A38" s="21" t="s">
        <v>84</v>
      </c>
      <c r="B38" s="93">
        <f>'NCO Medium-Large C&amp;I Cust Fcst'!M42</f>
        <v>379</v>
      </c>
      <c r="C38" s="24">
        <f>'NCO Medium-Large C&amp;I Cust Fcst'!M43</f>
        <v>12</v>
      </c>
      <c r="D38" s="24"/>
      <c r="E38" s="25">
        <f>SUM(B38:D38)</f>
        <v>391</v>
      </c>
      <c r="F38" s="24">
        <f>'NCO Medium-Large C&amp;I Cust Fcst'!N42</f>
        <v>3</v>
      </c>
      <c r="G38" s="24">
        <f>'NCO Medium-Large C&amp;I Cust Fcst'!N43</f>
        <v>4</v>
      </c>
      <c r="H38" s="24">
        <f>'NCO Medium-Large C&amp;I Cust Fcst'!N44</f>
        <v>0</v>
      </c>
      <c r="I38" s="24">
        <f>SUM(F38:H38)</f>
        <v>7</v>
      </c>
      <c r="J38" s="93">
        <f>'NCO Medium-Large C&amp;I Cust Fcst'!O42</f>
        <v>0</v>
      </c>
      <c r="K38" s="24">
        <f>'NCO Medium-Large C&amp;I Cust Fcst'!O43</f>
        <v>0</v>
      </c>
      <c r="L38" s="24">
        <f>'NCO Medium-Large C&amp;I Cust Fcst'!O44</f>
        <v>0</v>
      </c>
      <c r="M38" s="25">
        <f>SUM(J38:L38)</f>
        <v>0</v>
      </c>
      <c r="N38" s="93">
        <f>'NCO Medium-Large C&amp;I Cust Fcst'!$P53</f>
        <v>684.89452953144973</v>
      </c>
      <c r="O38" s="24">
        <f>'NCO Medium-Large C&amp;I Cust Fcst'!$P54</f>
        <v>28.626026727350343</v>
      </c>
      <c r="P38" s="24">
        <f>'NCO Medium-Large C&amp;I Cust Fcst'!$P55</f>
        <v>0.12444374119996229</v>
      </c>
      <c r="Q38" s="25">
        <f>SUM(N38:P38)</f>
        <v>713.64499999999998</v>
      </c>
    </row>
    <row r="39" spans="1:19" ht="13">
      <c r="A39" s="21" t="s">
        <v>85</v>
      </c>
      <c r="B39" s="93">
        <f>'NCO Medium-Large C&amp;I Cust Fcst'!M48</f>
        <v>300.41006876003922</v>
      </c>
      <c r="C39" s="24">
        <f>'NCO Medium-Large C&amp;I Cust Fcst'!M49</f>
        <v>8.9446127108408167</v>
      </c>
      <c r="D39" s="24"/>
      <c r="E39" s="25">
        <f t="shared" ref="E39" si="16">SUM(B39:D39)</f>
        <v>309.35468147088005</v>
      </c>
      <c r="F39" s="24">
        <f>'NCO Medium-Large C&amp;I Cust Fcst'!N48</f>
        <v>2.3135941788480379</v>
      </c>
      <c r="G39" s="24">
        <f>'NCO Medium-Large C&amp;I Cust Fcst'!N49</f>
        <v>3.4475116609905281</v>
      </c>
      <c r="H39" s="24">
        <f>'NCO Medium-Large C&amp;I Cust Fcst'!N50</f>
        <v>5.6952910095284352E-2</v>
      </c>
      <c r="I39" s="24">
        <f>SUM(F39:H39)</f>
        <v>5.8180587499338499</v>
      </c>
      <c r="J39" s="93">
        <f>'NCO Medium-Large C&amp;I Cust Fcst'!O48</f>
        <v>0.1708665925625113</v>
      </c>
      <c r="K39" s="24">
        <f>'NCO Medium-Large C&amp;I Cust Fcst'!O49</f>
        <v>0.23390235551899646</v>
      </c>
      <c r="L39" s="24">
        <f>'NCO Medium-Large C&amp;I Cust Fcst'!O50</f>
        <v>6.7490831104677934E-2</v>
      </c>
      <c r="M39" s="25">
        <f>SUM(J39:L39)</f>
        <v>0.47225977918618567</v>
      </c>
      <c r="N39" s="93">
        <f>'NCO Medium-Large C&amp;I Cust Fcst'!P48</f>
        <v>302.89452953144979</v>
      </c>
      <c r="O39" s="24">
        <f>'NCO Medium-Large C&amp;I Cust Fcst'!P49</f>
        <v>12.626026727350341</v>
      </c>
      <c r="P39" s="24">
        <f>'NCO Medium-Large C&amp;I Cust Fcst'!P50</f>
        <v>0.12444374119996229</v>
      </c>
      <c r="Q39" s="25">
        <f>SUM(N39:P39)</f>
        <v>315.6450000000001</v>
      </c>
    </row>
    <row r="40" spans="1:19" ht="13">
      <c r="A40" s="11"/>
      <c r="B40" s="181"/>
      <c r="C40" s="117"/>
      <c r="D40" s="117"/>
      <c r="E40" s="25"/>
      <c r="F40" s="117"/>
      <c r="G40" s="117"/>
      <c r="H40" s="117"/>
      <c r="I40" s="117"/>
      <c r="J40" s="181"/>
      <c r="K40" s="117"/>
      <c r="L40" s="117"/>
      <c r="M40" s="118"/>
      <c r="N40" s="181"/>
      <c r="O40" s="117"/>
      <c r="P40" s="117"/>
      <c r="Q40" s="118"/>
    </row>
    <row r="41" spans="1:19" ht="13">
      <c r="A41" s="11" t="s">
        <v>119</v>
      </c>
      <c r="B41" s="123">
        <f>(B34*B38+B35*B39)/B37</f>
        <v>614.28229118243064</v>
      </c>
      <c r="C41" s="33">
        <f>(C34*C38+C35*C39)/C37</f>
        <v>2040.7971036271356</v>
      </c>
      <c r="D41" s="33"/>
      <c r="E41" s="34">
        <f t="shared" ref="E41" si="17">(E34*E38+E35*E39)/E37</f>
        <v>651.92486753277046</v>
      </c>
      <c r="F41" s="33">
        <f t="shared" ref="F41:Q41" si="18">(F34*F38+F35*F39)/F37</f>
        <v>190.0482620518043</v>
      </c>
      <c r="G41" s="33">
        <f t="shared" si="18"/>
        <v>232.29683854598233</v>
      </c>
      <c r="H41" s="33">
        <f t="shared" si="18"/>
        <v>180.19330465533716</v>
      </c>
      <c r="I41" s="33">
        <f t="shared" si="18"/>
        <v>214.35287836790891</v>
      </c>
      <c r="J41" s="123">
        <f t="shared" si="18"/>
        <v>1250.8165781022988</v>
      </c>
      <c r="K41" s="33">
        <f t="shared" si="18"/>
        <v>2034.904524374743</v>
      </c>
      <c r="L41" s="33">
        <f t="shared" si="18"/>
        <v>3080.3551194046668</v>
      </c>
      <c r="M41" s="34">
        <f t="shared" si="18"/>
        <v>1982.6319946232463</v>
      </c>
      <c r="N41" s="123">
        <f t="shared" si="18"/>
        <v>881.44568401895424</v>
      </c>
      <c r="O41" s="33">
        <f t="shared" si="18"/>
        <v>2199.7405696120254</v>
      </c>
      <c r="P41" s="33">
        <f t="shared" si="18"/>
        <v>3675.0589106958892</v>
      </c>
      <c r="Q41" s="34">
        <f t="shared" si="18"/>
        <v>934.13455976353487</v>
      </c>
    </row>
    <row r="42" spans="1:19" ht="13">
      <c r="A42" s="11"/>
      <c r="B42" s="181"/>
      <c r="C42" s="117"/>
      <c r="D42" s="117"/>
      <c r="E42" s="118"/>
      <c r="F42" s="117"/>
      <c r="G42" s="117"/>
      <c r="H42" s="117"/>
      <c r="I42" s="117"/>
      <c r="J42" s="181"/>
      <c r="K42" s="117"/>
      <c r="L42" s="117"/>
      <c r="M42" s="118"/>
      <c r="N42" s="181"/>
      <c r="O42" s="117"/>
      <c r="P42" s="117"/>
      <c r="Q42" s="118"/>
    </row>
    <row r="43" spans="1:19" ht="13">
      <c r="A43" s="40" t="s">
        <v>21</v>
      </c>
      <c r="B43" s="227">
        <f>'[6]M-L C&amp;I Cust Cost Summary '!B29</f>
        <v>148.73806370720951</v>
      </c>
      <c r="C43" s="216">
        <f>'[6]M-L C&amp;I Cust Cost Summary '!C29</f>
        <v>148.82215016207113</v>
      </c>
      <c r="D43" s="216"/>
      <c r="E43" s="217">
        <f>'[6]M-L C&amp;I Cust Cost Summary '!E29</f>
        <v>148.74035529202578</v>
      </c>
      <c r="F43" s="216">
        <f>'[6]M-L C&amp;I Cust Cost Summary '!F29</f>
        <v>51.284941211622503</v>
      </c>
      <c r="G43" s="216">
        <f>'[6]M-L C&amp;I Cust Cost Summary '!G29</f>
        <v>51.802088812642978</v>
      </c>
      <c r="H43" s="216">
        <f>'[6]M-L C&amp;I Cust Cost Summary '!H29</f>
        <v>51.373757086725199</v>
      </c>
      <c r="I43" s="216">
        <f>'[6]M-L C&amp;I Cust Cost Summary '!I29</f>
        <v>51.572502442858749</v>
      </c>
      <c r="J43" s="227">
        <f>'[6]M-L C&amp;I Cust Cost Summary '!J29</f>
        <v>961.74155661828036</v>
      </c>
      <c r="K43" s="216">
        <f>'[6]M-L C&amp;I Cust Cost Summary '!K29</f>
        <v>1025.9763068088528</v>
      </c>
      <c r="L43" s="216">
        <f>'[6]M-L C&amp;I Cust Cost Summary '!L29</f>
        <v>1130.3577758685328</v>
      </c>
      <c r="M43" s="217">
        <f>'[6]M-L C&amp;I Cust Cost Summary '!M29</f>
        <v>1024.6916118050412</v>
      </c>
      <c r="N43" s="227">
        <f>'[6]M-L C&amp;I Cust Cost Summary '!N29</f>
        <v>147.6455968421723</v>
      </c>
      <c r="O43" s="216">
        <f>'[6]M-L C&amp;I Cust Cost Summary '!O29</f>
        <v>155.14211876535961</v>
      </c>
      <c r="P43" s="216">
        <f>'[6]M-L C&amp;I Cust Cost Summary '!P29</f>
        <v>278.82223747717597</v>
      </c>
      <c r="Q43" s="217">
        <f>'[6]M-L C&amp;I Cust Cost Summary '!Q29</f>
        <v>147.98598559289968</v>
      </c>
      <c r="S43" s="53"/>
    </row>
    <row r="44" spans="1:19" ht="13">
      <c r="A44" s="40" t="s">
        <v>81</v>
      </c>
      <c r="B44" s="227">
        <f>'[6]M-L C&amp;I Cust Cost Summary '!B30</f>
        <v>-3.0284021924274875</v>
      </c>
      <c r="C44" s="216">
        <f>'[6]M-L C&amp;I Cust Cost Summary '!C30</f>
        <v>-3.0284021924274875</v>
      </c>
      <c r="D44" s="216"/>
      <c r="E44" s="217">
        <f>'[6]M-L C&amp;I Cust Cost Summary '!E30</f>
        <v>-3.0284021924274875</v>
      </c>
      <c r="F44" s="216">
        <f>'[6]M-L C&amp;I Cust Cost Summary '!F30</f>
        <v>-3.0284021924274875</v>
      </c>
      <c r="G44" s="216">
        <f>'[6]M-L C&amp;I Cust Cost Summary '!G30</f>
        <v>-3.0284021924274875</v>
      </c>
      <c r="H44" s="216">
        <f>'[6]M-L C&amp;I Cust Cost Summary '!H30</f>
        <v>-3.0284021924274875</v>
      </c>
      <c r="I44" s="216">
        <f>'[6]M-L C&amp;I Cust Cost Summary '!I30</f>
        <v>-3.0284021924274875</v>
      </c>
      <c r="J44" s="227">
        <f>'[6]M-L C&amp;I Cust Cost Summary '!J30</f>
        <v>-3.0284021924274875</v>
      </c>
      <c r="K44" s="216">
        <f>'[6]M-L C&amp;I Cust Cost Summary '!K30</f>
        <v>-3.0284021924274875</v>
      </c>
      <c r="L44" s="216">
        <f>'[6]M-L C&amp;I Cust Cost Summary '!L30</f>
        <v>-3.0284021924274875</v>
      </c>
      <c r="M44" s="217">
        <f>'[6]M-L C&amp;I Cust Cost Summary '!M30</f>
        <v>-3.0284021924274875</v>
      </c>
      <c r="N44" s="227">
        <f>'[6]M-L C&amp;I Cust Cost Summary '!N30</f>
        <v>-3.0284021924274875</v>
      </c>
      <c r="O44" s="216">
        <f>'[6]M-L C&amp;I Cust Cost Summary '!O30</f>
        <v>-3.0284021924274875</v>
      </c>
      <c r="P44" s="216">
        <f>'[6]M-L C&amp;I Cust Cost Summary '!P30</f>
        <v>-3.0284021924274875</v>
      </c>
      <c r="Q44" s="217">
        <f>'[6]M-L C&amp;I Cust Cost Summary '!Q30</f>
        <v>-3.0284021924274875</v>
      </c>
    </row>
    <row r="45" spans="1:19" ht="16">
      <c r="A45" s="40" t="s">
        <v>22</v>
      </c>
      <c r="B45" s="228">
        <f>'[6]M-L C&amp;I Cust Cost Summary '!B33</f>
        <v>481.55031066335579</v>
      </c>
      <c r="C45" s="229">
        <f>'[6]M-L C&amp;I Cust Cost Summary '!C33</f>
        <v>481.55031066335573</v>
      </c>
      <c r="D45" s="229"/>
      <c r="E45" s="230">
        <f>'[6]M-L C&amp;I Cust Cost Summary '!E33</f>
        <v>481.55031066335573</v>
      </c>
      <c r="F45" s="229">
        <f>'[6]M-L C&amp;I Cust Cost Summary '!F33</f>
        <v>481.55031066335567</v>
      </c>
      <c r="G45" s="229">
        <f>'[6]M-L C&amp;I Cust Cost Summary '!G33</f>
        <v>481.55031066335573</v>
      </c>
      <c r="H45" s="229">
        <f>'[6]M-L C&amp;I Cust Cost Summary '!H33</f>
        <v>481.55031066335573</v>
      </c>
      <c r="I45" s="229">
        <f>'[6]M-L C&amp;I Cust Cost Summary '!I33</f>
        <v>481.55031066335567</v>
      </c>
      <c r="J45" s="228">
        <f>'[6]M-L C&amp;I Cust Cost Summary '!J33</f>
        <v>481.55031066335573</v>
      </c>
      <c r="K45" s="229">
        <f>'[6]M-L C&amp;I Cust Cost Summary '!K33</f>
        <v>481.55031066335573</v>
      </c>
      <c r="L45" s="229">
        <f>'[6]M-L C&amp;I Cust Cost Summary '!L33</f>
        <v>481.55031066335573</v>
      </c>
      <c r="M45" s="230">
        <f>'[6]M-L C&amp;I Cust Cost Summary '!M33</f>
        <v>481.55031066335573</v>
      </c>
      <c r="N45" s="228">
        <f>'[6]M-L C&amp;I Cust Cost Summary '!N33</f>
        <v>481.55031066335579</v>
      </c>
      <c r="O45" s="229">
        <f>'[6]M-L C&amp;I Cust Cost Summary '!O33</f>
        <v>481.55031066335567</v>
      </c>
      <c r="P45" s="229">
        <f>'[6]M-L C&amp;I Cust Cost Summary '!P33</f>
        <v>481.55031066335573</v>
      </c>
      <c r="Q45" s="230">
        <f>'[6]M-L C&amp;I Cust Cost Summary '!Q33</f>
        <v>481.55031066335567</v>
      </c>
    </row>
    <row r="46" spans="1:19" ht="13">
      <c r="A46" s="11" t="s">
        <v>120</v>
      </c>
      <c r="B46" s="182">
        <f>B43+B44+B45</f>
        <v>627.25997217813779</v>
      </c>
      <c r="C46" s="172">
        <f>C43+C44+C45</f>
        <v>627.34405863299935</v>
      </c>
      <c r="D46" s="172"/>
      <c r="E46" s="173">
        <f t="shared" ref="E46" si="19">E43+E44+E45</f>
        <v>627.26226376295403</v>
      </c>
      <c r="F46" s="172">
        <f t="shared" ref="F46:Q46" si="20">F43+F44+F45</f>
        <v>529.80684968255071</v>
      </c>
      <c r="G46" s="172">
        <f t="shared" si="20"/>
        <v>530.3239972835712</v>
      </c>
      <c r="H46" s="172">
        <f t="shared" si="20"/>
        <v>529.8956655576535</v>
      </c>
      <c r="I46" s="172">
        <f t="shared" si="20"/>
        <v>530.09441091378699</v>
      </c>
      <c r="J46" s="182">
        <f t="shared" si="20"/>
        <v>1440.2634650892087</v>
      </c>
      <c r="K46" s="172">
        <f t="shared" si="20"/>
        <v>1504.4982152797811</v>
      </c>
      <c r="L46" s="172">
        <f t="shared" si="20"/>
        <v>1608.8796843394612</v>
      </c>
      <c r="M46" s="173">
        <f t="shared" si="20"/>
        <v>1503.2135202759696</v>
      </c>
      <c r="N46" s="182">
        <f t="shared" si="20"/>
        <v>626.16750531310061</v>
      </c>
      <c r="O46" s="172">
        <f t="shared" si="20"/>
        <v>633.66402723628778</v>
      </c>
      <c r="P46" s="172">
        <f t="shared" si="20"/>
        <v>757.34414594810414</v>
      </c>
      <c r="Q46" s="173">
        <f t="shared" si="20"/>
        <v>626.50789406382785</v>
      </c>
    </row>
    <row r="47" spans="1:19">
      <c r="A47" s="27"/>
      <c r="B47" s="183"/>
      <c r="E47" s="174"/>
      <c r="J47" s="183"/>
      <c r="M47" s="174"/>
      <c r="N47" s="183"/>
      <c r="O47" s="56"/>
      <c r="P47" s="56"/>
      <c r="Q47" s="174"/>
    </row>
    <row r="48" spans="1:19" ht="13">
      <c r="A48" s="11" t="s">
        <v>121</v>
      </c>
      <c r="B48" s="169">
        <f>B41+B46</f>
        <v>1241.5422633605685</v>
      </c>
      <c r="C48" s="104">
        <f t="shared" ref="C48:Q48" si="21">C41+C46</f>
        <v>2668.1411622601349</v>
      </c>
      <c r="D48" s="104"/>
      <c r="E48" s="105">
        <f t="shared" si="21"/>
        <v>1279.1871312957246</v>
      </c>
      <c r="F48" s="104">
        <f t="shared" si="21"/>
        <v>719.85511173435498</v>
      </c>
      <c r="G48" s="104">
        <f t="shared" si="21"/>
        <v>762.62083582955347</v>
      </c>
      <c r="H48" s="104">
        <f t="shared" si="21"/>
        <v>710.08897021299072</v>
      </c>
      <c r="I48" s="104">
        <f t="shared" si="21"/>
        <v>744.44728928169593</v>
      </c>
      <c r="J48" s="169">
        <f t="shared" si="21"/>
        <v>2691.0800431915077</v>
      </c>
      <c r="K48" s="104">
        <f t="shared" si="21"/>
        <v>3539.4027396545243</v>
      </c>
      <c r="L48" s="104">
        <f t="shared" si="21"/>
        <v>4689.2348037441279</v>
      </c>
      <c r="M48" s="105">
        <f t="shared" si="21"/>
        <v>3485.8455148992161</v>
      </c>
      <c r="N48" s="169">
        <f t="shared" si="21"/>
        <v>1507.6131893320548</v>
      </c>
      <c r="O48" s="104">
        <f t="shared" si="21"/>
        <v>2833.4045968483133</v>
      </c>
      <c r="P48" s="104">
        <f t="shared" si="21"/>
        <v>4432.4030566439933</v>
      </c>
      <c r="Q48" s="105">
        <f t="shared" si="21"/>
        <v>1560.6424538273627</v>
      </c>
    </row>
    <row r="49" spans="1:17" ht="13" thickBot="1">
      <c r="A49" s="170"/>
      <c r="B49" s="170"/>
      <c r="C49" s="171"/>
      <c r="D49" s="171"/>
      <c r="E49" s="126"/>
      <c r="F49" s="171"/>
      <c r="G49" s="171"/>
      <c r="H49" s="171"/>
      <c r="I49" s="171"/>
      <c r="J49" s="170"/>
      <c r="K49" s="171"/>
      <c r="L49" s="171"/>
      <c r="M49" s="126"/>
      <c r="N49" s="170"/>
      <c r="O49" s="171"/>
      <c r="P49" s="171"/>
      <c r="Q49" s="126"/>
    </row>
    <row r="50" spans="1:17">
      <c r="A50" s="205" t="s">
        <v>134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7"/>
      <c r="L50" s="206"/>
      <c r="M50" s="206"/>
      <c r="N50" s="206"/>
      <c r="O50" s="206"/>
      <c r="P50" s="206"/>
      <c r="Q50" s="204"/>
    </row>
    <row r="51" spans="1:17" ht="13" thickBot="1">
      <c r="A51" s="179" t="s">
        <v>135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71"/>
      <c r="M51" s="171"/>
      <c r="N51" s="171"/>
      <c r="O51" s="171"/>
      <c r="P51" s="171"/>
      <c r="Q51" s="126"/>
    </row>
    <row r="53" spans="1:17"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5" spans="1:17">
      <c r="A55" s="55"/>
    </row>
    <row r="67" spans="1:1">
      <c r="A67" s="55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4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"/>
  <sheetViews>
    <sheetView topLeftCell="A28" zoomScaleNormal="100" workbookViewId="0">
      <selection activeCell="B46" sqref="B46"/>
    </sheetView>
  </sheetViews>
  <sheetFormatPr defaultColWidth="9.1796875" defaultRowHeight="12.5"/>
  <cols>
    <col min="1" max="1" width="70.7265625" style="41" customWidth="1"/>
    <col min="2" max="2" width="12.7265625" style="41" customWidth="1"/>
    <col min="3" max="6" width="12.7265625" style="56" customWidth="1"/>
    <col min="7" max="7" width="12.81640625" style="56" customWidth="1"/>
    <col min="8" max="8" width="12.7265625" style="41" customWidth="1"/>
    <col min="9" max="9" width="12.453125" style="41" customWidth="1"/>
    <col min="10" max="10" width="12.81640625" style="41" customWidth="1"/>
    <col min="11" max="16384" width="9.1796875" style="41"/>
  </cols>
  <sheetData>
    <row r="1" spans="1:10" ht="18.5" thickBot="1">
      <c r="A1" s="393" t="s">
        <v>92</v>
      </c>
      <c r="B1" s="393"/>
      <c r="C1" s="393"/>
      <c r="D1" s="393"/>
      <c r="E1" s="393"/>
      <c r="F1" s="393"/>
      <c r="G1" s="393"/>
      <c r="H1" s="394"/>
      <c r="I1" s="394"/>
      <c r="J1" s="394"/>
    </row>
    <row r="2" spans="1:10" ht="13.5" thickBot="1">
      <c r="A2" s="162"/>
      <c r="B2" s="398" t="s">
        <v>35</v>
      </c>
      <c r="C2" s="399"/>
      <c r="D2" s="400"/>
      <c r="E2" s="398" t="s">
        <v>40</v>
      </c>
      <c r="F2" s="399"/>
      <c r="G2" s="400"/>
      <c r="H2" s="398" t="s">
        <v>51</v>
      </c>
      <c r="I2" s="399"/>
      <c r="J2" s="400"/>
    </row>
    <row r="3" spans="1:10" ht="13.5" thickBot="1">
      <c r="A3" s="163" t="s">
        <v>0</v>
      </c>
      <c r="B3" s="325" t="s">
        <v>52</v>
      </c>
      <c r="C3" s="326" t="s">
        <v>53</v>
      </c>
      <c r="D3" s="327" t="s">
        <v>46</v>
      </c>
      <c r="E3" s="325" t="s">
        <v>52</v>
      </c>
      <c r="F3" s="326" t="s">
        <v>53</v>
      </c>
      <c r="G3" s="327" t="s">
        <v>47</v>
      </c>
      <c r="H3" s="325" t="s">
        <v>52</v>
      </c>
      <c r="I3" s="326" t="s">
        <v>53</v>
      </c>
      <c r="J3" s="327" t="s">
        <v>36</v>
      </c>
    </row>
    <row r="4" spans="1:10" ht="13">
      <c r="A4" s="44"/>
      <c r="B4" s="116"/>
      <c r="C4" s="45"/>
      <c r="D4" s="46"/>
      <c r="E4" s="116"/>
      <c r="F4" s="45"/>
      <c r="G4" s="46"/>
      <c r="H4" s="116"/>
      <c r="I4" s="45"/>
      <c r="J4" s="46"/>
    </row>
    <row r="5" spans="1:10" ht="13">
      <c r="A5" s="47"/>
      <c r="B5" s="115"/>
      <c r="C5" s="48"/>
      <c r="D5" s="49"/>
      <c r="E5" s="115"/>
      <c r="F5" s="48"/>
      <c r="G5" s="49"/>
      <c r="H5" s="115"/>
      <c r="I5" s="48"/>
      <c r="J5" s="49"/>
    </row>
    <row r="6" spans="1:10" ht="13">
      <c r="A6" s="47" t="s">
        <v>13</v>
      </c>
      <c r="B6" s="93"/>
      <c r="C6" s="24"/>
      <c r="D6" s="25"/>
      <c r="E6" s="93"/>
      <c r="F6" s="24"/>
      <c r="G6" s="25"/>
      <c r="H6" s="93"/>
      <c r="I6" s="24"/>
      <c r="J6" s="25"/>
    </row>
    <row r="7" spans="1:10" ht="13">
      <c r="A7" s="50"/>
      <c r="B7" s="93"/>
      <c r="C7" s="24"/>
      <c r="D7" s="25"/>
      <c r="E7" s="93"/>
      <c r="F7" s="24"/>
      <c r="G7" s="25"/>
      <c r="H7" s="93"/>
      <c r="I7" s="24"/>
      <c r="J7" s="25"/>
    </row>
    <row r="8" spans="1:10" ht="13">
      <c r="A8" s="47" t="s">
        <v>14</v>
      </c>
      <c r="B8" s="231">
        <f>'[6]Agric Cust Cost Summary'!B8</f>
        <v>1366.5375951742012</v>
      </c>
      <c r="C8" s="232">
        <f>'[6]Agric Cust Cost Summary'!C8</f>
        <v>10422.131888440388</v>
      </c>
      <c r="D8" s="233">
        <f>'[6]Agric Cust Cost Summary'!D8</f>
        <v>3848.7817161710232</v>
      </c>
      <c r="E8" s="231">
        <f>'[6]Agric Cust Cost Summary'!E8</f>
        <v>0</v>
      </c>
      <c r="F8" s="232">
        <f>'[6]Agric Cust Cost Summary'!F8</f>
        <v>0</v>
      </c>
      <c r="G8" s="233">
        <f>'[6]Agric Cust Cost Summary'!G8</f>
        <v>0</v>
      </c>
      <c r="H8" s="231">
        <f>'[6]Agric Cust Cost Summary'!H8</f>
        <v>1366.0599518343993</v>
      </c>
      <c r="I8" s="232">
        <f>'[6]Agric Cust Cost Summary'!I8</f>
        <v>10186.337049335398</v>
      </c>
      <c r="J8" s="233">
        <f>'[6]Agric Cust Cost Summary'!J8</f>
        <v>3823.5501668466545</v>
      </c>
    </row>
    <row r="9" spans="1:10" ht="13">
      <c r="A9" s="47" t="s">
        <v>15</v>
      </c>
      <c r="B9" s="231">
        <f>'[6]Agric Cust Cost Summary'!B9</f>
        <v>389.14672751376281</v>
      </c>
      <c r="C9" s="232">
        <f>'[6]Agric Cust Cost Summary'!C9</f>
        <v>1526.012824075797</v>
      </c>
      <c r="D9" s="233">
        <f>'[6]Agric Cust Cost Summary'!D9</f>
        <v>700.77499763736591</v>
      </c>
      <c r="E9" s="231">
        <f>'[6]Agric Cust Cost Summary'!E9</f>
        <v>3396.4220443713425</v>
      </c>
      <c r="F9" s="232">
        <f>'[6]Agric Cust Cost Summary'!F9</f>
        <v>4404.0870983993873</v>
      </c>
      <c r="G9" s="233">
        <f>'[6]Agric Cust Cost Summary'!G9</f>
        <v>4365.330750167539</v>
      </c>
      <c r="H9" s="231">
        <f>'[6]Agric Cust Cost Summary'!H9</f>
        <v>390.19785485275531</v>
      </c>
      <c r="I9" s="232">
        <f>'[6]Agric Cust Cost Summary'!I9</f>
        <v>1591.1276266623036</v>
      </c>
      <c r="J9" s="233">
        <f>'[6]Agric Cust Cost Summary'!J9</f>
        <v>724.79881245475997</v>
      </c>
    </row>
    <row r="10" spans="1:10" ht="13">
      <c r="A10" s="47" t="s">
        <v>16</v>
      </c>
      <c r="B10" s="231">
        <f>'[6]Agric Cust Cost Summary'!B10</f>
        <v>286.14303694833995</v>
      </c>
      <c r="C10" s="232">
        <f>'[6]Agric Cust Cost Summary'!C10</f>
        <v>486.04328917645608</v>
      </c>
      <c r="D10" s="233">
        <f>'[6]Agric Cust Cost Summary'!D10</f>
        <v>340.93802994487936</v>
      </c>
      <c r="E10" s="231">
        <f>'[6]Agric Cust Cost Summary'!E10</f>
        <v>939.38301028660817</v>
      </c>
      <c r="F10" s="232">
        <f>'[6]Agric Cust Cost Summary'!F10</f>
        <v>1050.2259058630916</v>
      </c>
      <c r="G10" s="233">
        <f>'[6]Agric Cust Cost Summary'!G10</f>
        <v>1045.9627175716885</v>
      </c>
      <c r="H10" s="231">
        <f>'[6]Agric Cust Cost Summary'!H10</f>
        <v>286.37136269924463</v>
      </c>
      <c r="I10" s="232">
        <f>'[6]Agric Cust Cost Summary'!I10</f>
        <v>498.80760177117634</v>
      </c>
      <c r="J10" s="233">
        <f>'[6]Agric Cust Cost Summary'!J10</f>
        <v>345.5599769641172</v>
      </c>
    </row>
    <row r="11" spans="1:10" ht="13">
      <c r="A11" s="11" t="s">
        <v>83</v>
      </c>
      <c r="B11" s="374">
        <f>'[5]Agric Cust Cost Summary'!B10</f>
        <v>281.88359174067455</v>
      </c>
      <c r="C11" s="375">
        <f>'[5]Agric Cust Cost Summary'!C10</f>
        <v>479.41972710907874</v>
      </c>
      <c r="D11" s="376">
        <f>'[5]Agric Cust Cost Summary'!D10</f>
        <v>336.03055270460266</v>
      </c>
      <c r="E11" s="374">
        <f>'[5]Agric Cust Cost Summary'!E10</f>
        <v>928.11620551141766</v>
      </c>
      <c r="F11" s="375">
        <f>'[5]Agric Cust Cost Summary'!F10</f>
        <v>1038.2571194819702</v>
      </c>
      <c r="G11" s="376">
        <f>'[5]Agric Cust Cost Summary'!G10</f>
        <v>1034.0209304831028</v>
      </c>
      <c r="H11" s="374">
        <f>'[5]Agric Cust Cost Summary'!H10</f>
        <v>282.10946822224417</v>
      </c>
      <c r="I11" s="375">
        <f>'[5]Agric Cust Cost Summary'!I10</f>
        <v>492.0631070270174</v>
      </c>
      <c r="J11" s="376">
        <f>'[5]Agric Cust Cost Summary'!J10</f>
        <v>340.60638473239919</v>
      </c>
    </row>
    <row r="12" spans="1:10" ht="13">
      <c r="A12" s="51"/>
      <c r="B12" s="144"/>
      <c r="C12" s="145"/>
      <c r="D12" s="146"/>
      <c r="E12" s="144"/>
      <c r="F12" s="145"/>
      <c r="G12" s="146"/>
      <c r="H12" s="144"/>
      <c r="I12" s="145"/>
      <c r="J12" s="146"/>
    </row>
    <row r="13" spans="1:10" ht="13">
      <c r="A13" s="47" t="s">
        <v>17</v>
      </c>
      <c r="B13" s="144">
        <f t="shared" ref="B13:J13" si="0">SUM(B8:B10)</f>
        <v>2041.8273596363042</v>
      </c>
      <c r="C13" s="145">
        <f t="shared" si="0"/>
        <v>12434.188001692641</v>
      </c>
      <c r="D13" s="146">
        <f t="shared" si="0"/>
        <v>4890.4947437532683</v>
      </c>
      <c r="E13" s="144">
        <f t="shared" si="0"/>
        <v>4335.8050546579507</v>
      </c>
      <c r="F13" s="145">
        <f t="shared" si="0"/>
        <v>5454.3130042624789</v>
      </c>
      <c r="G13" s="146">
        <f t="shared" si="0"/>
        <v>5411.2934677392277</v>
      </c>
      <c r="H13" s="144">
        <f t="shared" si="0"/>
        <v>2042.6291693863993</v>
      </c>
      <c r="I13" s="145">
        <f t="shared" si="0"/>
        <v>12276.272277768876</v>
      </c>
      <c r="J13" s="146">
        <f t="shared" si="0"/>
        <v>4893.9089562655317</v>
      </c>
    </row>
    <row r="14" spans="1:10" ht="13">
      <c r="A14" s="11" t="s">
        <v>82</v>
      </c>
      <c r="B14" s="144">
        <f>B8+B9+B11</f>
        <v>2037.5679144286387</v>
      </c>
      <c r="C14" s="145">
        <f t="shared" ref="C14:J14" si="1">C8+C9+C11</f>
        <v>12427.564439625263</v>
      </c>
      <c r="D14" s="146">
        <f t="shared" si="1"/>
        <v>4885.5872665129918</v>
      </c>
      <c r="E14" s="144">
        <f>E8+E9+E11</f>
        <v>4324.5382498827603</v>
      </c>
      <c r="F14" s="145">
        <f t="shared" si="1"/>
        <v>5442.3442178813575</v>
      </c>
      <c r="G14" s="146">
        <f t="shared" si="1"/>
        <v>5399.3516806506414</v>
      </c>
      <c r="H14" s="144">
        <f>H8+H9+H11</f>
        <v>2038.3672749093989</v>
      </c>
      <c r="I14" s="145">
        <f t="shared" si="1"/>
        <v>12269.527783024718</v>
      </c>
      <c r="J14" s="146">
        <f t="shared" si="1"/>
        <v>4888.9553640338136</v>
      </c>
    </row>
    <row r="15" spans="1:10" ht="13">
      <c r="A15" s="51"/>
      <c r="B15" s="144"/>
      <c r="C15" s="145"/>
      <c r="D15" s="146"/>
      <c r="E15" s="144"/>
      <c r="F15" s="145"/>
      <c r="G15" s="146"/>
      <c r="H15" s="144"/>
      <c r="I15" s="145"/>
      <c r="J15" s="146"/>
    </row>
    <row r="16" spans="1:10" ht="13">
      <c r="A16" s="47" t="s">
        <v>25</v>
      </c>
      <c r="B16" s="144"/>
      <c r="C16" s="145"/>
      <c r="D16" s="146"/>
      <c r="E16" s="144"/>
      <c r="F16" s="145"/>
      <c r="G16" s="146"/>
      <c r="H16" s="144"/>
      <c r="I16" s="145"/>
      <c r="J16" s="146"/>
    </row>
    <row r="17" spans="1:10" ht="13">
      <c r="A17" s="52">
        <f>Input!B3</f>
        <v>2.7723662892949787E-2</v>
      </c>
      <c r="B17" s="144"/>
      <c r="C17" s="145"/>
      <c r="D17" s="146"/>
      <c r="E17" s="144"/>
      <c r="F17" s="145"/>
      <c r="G17" s="146"/>
      <c r="H17" s="144"/>
      <c r="I17" s="145"/>
      <c r="J17" s="146"/>
    </row>
    <row r="18" spans="1:10" ht="13">
      <c r="A18" s="47" t="s">
        <v>26</v>
      </c>
      <c r="B18" s="144"/>
      <c r="C18" s="145"/>
      <c r="D18" s="146"/>
      <c r="E18" s="144"/>
      <c r="F18" s="145"/>
      <c r="G18" s="146"/>
      <c r="H18" s="144"/>
      <c r="I18" s="145"/>
      <c r="J18" s="146"/>
    </row>
    <row r="19" spans="1:10" ht="13">
      <c r="A19" s="52">
        <f>Input!B4</f>
        <v>1.5023E-2</v>
      </c>
      <c r="B19" s="144"/>
      <c r="C19" s="145"/>
      <c r="D19" s="146"/>
      <c r="E19" s="144"/>
      <c r="F19" s="145"/>
      <c r="G19" s="146"/>
      <c r="H19" s="144"/>
      <c r="I19" s="145"/>
      <c r="J19" s="146"/>
    </row>
    <row r="20" spans="1:10" ht="13">
      <c r="A20" s="21" t="s">
        <v>27</v>
      </c>
      <c r="B20" s="144">
        <f t="shared" ref="B20:J20" si="2">(B8*(1+$A$17)*(1+$A$19))</f>
        <v>1425.5216698647776</v>
      </c>
      <c r="C20" s="145">
        <f t="shared" si="2"/>
        <v>10871.983987580361</v>
      </c>
      <c r="D20" s="146">
        <f t="shared" si="2"/>
        <v>4014.907279796967</v>
      </c>
      <c r="E20" s="144">
        <f t="shared" si="2"/>
        <v>0</v>
      </c>
      <c r="F20" s="145">
        <f t="shared" si="2"/>
        <v>0</v>
      </c>
      <c r="G20" s="146">
        <f t="shared" si="2"/>
        <v>0</v>
      </c>
      <c r="H20" s="144">
        <f t="shared" si="2"/>
        <v>1425.0234099312356</v>
      </c>
      <c r="I20" s="145">
        <f t="shared" si="2"/>
        <v>10626.011499173561</v>
      </c>
      <c r="J20" s="146">
        <f t="shared" si="2"/>
        <v>3988.5866571860947</v>
      </c>
    </row>
    <row r="21" spans="1:10" ht="13">
      <c r="A21" s="21" t="s">
        <v>15</v>
      </c>
      <c r="B21" s="144">
        <f t="shared" ref="B21:J21" si="3">(B9*(1+$A$17)*(1+$A$19))</f>
        <v>405.9435282182024</v>
      </c>
      <c r="C21" s="145">
        <f t="shared" si="3"/>
        <v>1591.8803528667559</v>
      </c>
      <c r="D21" s="146">
        <f t="shared" si="3"/>
        <v>731.02265781729807</v>
      </c>
      <c r="E21" s="144">
        <f t="shared" si="3"/>
        <v>3543.0223371502479</v>
      </c>
      <c r="F21" s="145">
        <f t="shared" si="3"/>
        <v>4594.181394577663</v>
      </c>
      <c r="G21" s="146">
        <f t="shared" si="3"/>
        <v>4553.7522000612234</v>
      </c>
      <c r="H21" s="144">
        <f t="shared" si="3"/>
        <v>407.04002552995775</v>
      </c>
      <c r="I21" s="145">
        <f t="shared" si="3"/>
        <v>1659.8057158013917</v>
      </c>
      <c r="J21" s="146">
        <f t="shared" si="3"/>
        <v>756.08341628889218</v>
      </c>
    </row>
    <row r="22" spans="1:10" ht="13">
      <c r="A22" s="21" t="s">
        <v>16</v>
      </c>
      <c r="B22" s="144">
        <f t="shared" ref="B22:J22" si="4">(B10*(1+$A$17)*(1+$A$19))</f>
        <v>298.4938733418295</v>
      </c>
      <c r="C22" s="145">
        <f t="shared" si="4"/>
        <v>507.02245123747713</v>
      </c>
      <c r="D22" s="146">
        <f t="shared" si="4"/>
        <v>355.65399114063644</v>
      </c>
      <c r="E22" s="144">
        <f t="shared" si="4"/>
        <v>979.92974521543431</v>
      </c>
      <c r="F22" s="145">
        <f t="shared" si="4"/>
        <v>1095.5569699276043</v>
      </c>
      <c r="G22" s="146">
        <f t="shared" si="4"/>
        <v>1091.1097689771364</v>
      </c>
      <c r="H22" s="144">
        <f t="shared" si="4"/>
        <v>298.73205435262076</v>
      </c>
      <c r="I22" s="145">
        <f t="shared" si="4"/>
        <v>520.33771184132615</v>
      </c>
      <c r="J22" s="146">
        <f t="shared" si="4"/>
        <v>360.47543597768868</v>
      </c>
    </row>
    <row r="23" spans="1:10" ht="13">
      <c r="A23" s="11" t="s">
        <v>83</v>
      </c>
      <c r="B23" s="144">
        <f t="shared" ref="B23" si="5">(B11*(1+$A$17)*(1+$A$19))</f>
        <v>294.05057703840464</v>
      </c>
      <c r="C23" s="145">
        <f t="shared" ref="C23:J23" si="6">(C11*(1+$A$17)*(1+$A$19))</f>
        <v>500.11299533075021</v>
      </c>
      <c r="D23" s="146">
        <f t="shared" si="6"/>
        <v>350.53469169722024</v>
      </c>
      <c r="E23" s="144">
        <f t="shared" si="6"/>
        <v>968.17662959396273</v>
      </c>
      <c r="F23" s="145">
        <f t="shared" si="6"/>
        <v>1083.0715729590006</v>
      </c>
      <c r="G23" s="146">
        <f t="shared" si="6"/>
        <v>1078.6525366757298</v>
      </c>
      <c r="H23" s="144">
        <f t="shared" si="6"/>
        <v>294.28620306166761</v>
      </c>
      <c r="I23" s="145">
        <f t="shared" si="6"/>
        <v>513.30210342188707</v>
      </c>
      <c r="J23" s="146">
        <f t="shared" si="6"/>
        <v>355.30803107428562</v>
      </c>
    </row>
    <row r="24" spans="1:10" ht="13">
      <c r="A24" s="47"/>
      <c r="B24" s="144"/>
      <c r="C24" s="159"/>
      <c r="D24" s="160"/>
      <c r="E24" s="158"/>
      <c r="F24" s="159"/>
      <c r="G24" s="160"/>
      <c r="H24" s="158"/>
      <c r="I24" s="159"/>
      <c r="J24" s="160"/>
    </row>
    <row r="25" spans="1:10" ht="13">
      <c r="A25" s="47" t="s">
        <v>17</v>
      </c>
      <c r="B25" s="158">
        <f t="shared" ref="B25:J25" si="7">B20+B21+B22</f>
        <v>2129.9590714248093</v>
      </c>
      <c r="C25" s="159">
        <f t="shared" si="7"/>
        <v>12970.886791684594</v>
      </c>
      <c r="D25" s="160">
        <f t="shared" si="7"/>
        <v>5101.5839287549015</v>
      </c>
      <c r="E25" s="158">
        <f t="shared" si="7"/>
        <v>4522.9520823656821</v>
      </c>
      <c r="F25" s="159">
        <f t="shared" si="7"/>
        <v>5689.7383645052669</v>
      </c>
      <c r="G25" s="160">
        <f t="shared" si="7"/>
        <v>5644.8619690383603</v>
      </c>
      <c r="H25" s="158">
        <f t="shared" si="7"/>
        <v>2130.7954898138141</v>
      </c>
      <c r="I25" s="159">
        <f t="shared" si="7"/>
        <v>12806.154926816278</v>
      </c>
      <c r="J25" s="160">
        <f t="shared" si="7"/>
        <v>5105.1455094526755</v>
      </c>
    </row>
    <row r="26" spans="1:10" ht="13">
      <c r="A26" s="11" t="s">
        <v>82</v>
      </c>
      <c r="B26" s="144">
        <f>B20+B21+B23</f>
        <v>2125.5157751213846</v>
      </c>
      <c r="C26" s="145">
        <f t="shared" ref="C26:J26" si="8">C20+C21+C23</f>
        <v>12963.977335777867</v>
      </c>
      <c r="D26" s="146">
        <f t="shared" si="8"/>
        <v>5096.4646293114856</v>
      </c>
      <c r="E26" s="144">
        <f>E20+E21+E23</f>
        <v>4511.1989667442103</v>
      </c>
      <c r="F26" s="145">
        <f t="shared" si="8"/>
        <v>5677.2529675366641</v>
      </c>
      <c r="G26" s="146">
        <f t="shared" si="8"/>
        <v>5632.4047367369531</v>
      </c>
      <c r="H26" s="144">
        <f>H20+H21+H23</f>
        <v>2126.3496385228609</v>
      </c>
      <c r="I26" s="145">
        <f t="shared" si="8"/>
        <v>12799.119318396839</v>
      </c>
      <c r="J26" s="146">
        <f t="shared" si="8"/>
        <v>5099.9781045492718</v>
      </c>
    </row>
    <row r="27" spans="1:10" ht="13">
      <c r="A27" s="11"/>
      <c r="B27" s="144"/>
      <c r="C27" s="145"/>
      <c r="D27" s="146"/>
      <c r="E27" s="144"/>
      <c r="F27" s="145"/>
      <c r="G27" s="146"/>
      <c r="H27" s="144"/>
      <c r="I27" s="145"/>
      <c r="J27" s="146"/>
    </row>
    <row r="28" spans="1:10" ht="13">
      <c r="A28" s="21" t="s">
        <v>20</v>
      </c>
      <c r="B28" s="144"/>
      <c r="C28" s="145"/>
      <c r="D28" s="146"/>
      <c r="E28" s="144"/>
      <c r="F28" s="145"/>
      <c r="G28" s="146"/>
      <c r="H28" s="144"/>
      <c r="I28" s="145"/>
      <c r="J28" s="146"/>
    </row>
    <row r="29" spans="1:10" ht="13">
      <c r="A29" s="21" t="s">
        <v>128</v>
      </c>
      <c r="B29" s="144">
        <f>B20*Input!$B$8</f>
        <v>1764.2315689739842</v>
      </c>
      <c r="C29" s="145">
        <f>C20*Input!$B$8</f>
        <v>13455.212764382866</v>
      </c>
      <c r="D29" s="146">
        <f>D20*Input!$B$8</f>
        <v>4968.8660083246405</v>
      </c>
      <c r="E29" s="144">
        <f>E20*Input!$B$8</f>
        <v>0</v>
      </c>
      <c r="F29" s="145">
        <f>F20*Input!$B$8</f>
        <v>0</v>
      </c>
      <c r="G29" s="146">
        <f>G20*Input!$B$8</f>
        <v>0</v>
      </c>
      <c r="H29" s="144">
        <f>H20*Input!$B$8</f>
        <v>1763.614920400418</v>
      </c>
      <c r="I29" s="145">
        <f>I20*Input!$B$8</f>
        <v>13150.796186003157</v>
      </c>
      <c r="J29" s="146">
        <f>J20*Input!$B$8</f>
        <v>4936.2914959150494</v>
      </c>
    </row>
    <row r="30" spans="1:10" ht="13">
      <c r="A30" s="21" t="s">
        <v>129</v>
      </c>
      <c r="B30" s="144">
        <f>B21*Input!$B$9</f>
        <v>500.42413260959637</v>
      </c>
      <c r="C30" s="145">
        <f>C21*Input!$B$9</f>
        <v>1962.3797139916676</v>
      </c>
      <c r="D30" s="146">
        <f>D21*Input!$B$9</f>
        <v>901.16322598336183</v>
      </c>
      <c r="E30" s="144">
        <f>E21*Input!$B$9</f>
        <v>4367.6367687571774</v>
      </c>
      <c r="F30" s="145">
        <f>F21*Input!$B$9</f>
        <v>5663.445971226065</v>
      </c>
      <c r="G30" s="146">
        <f>G21*Input!$B$9</f>
        <v>5613.6071557464911</v>
      </c>
      <c r="H30" s="144">
        <f>H21*Input!$B$9</f>
        <v>501.77583223774997</v>
      </c>
      <c r="I30" s="145">
        <f>I21*Input!$B$9</f>
        <v>2046.1142446983281</v>
      </c>
      <c r="J30" s="146">
        <f>J21*Input!$B$9</f>
        <v>932.05670610788059</v>
      </c>
    </row>
    <row r="31" spans="1:10" ht="13">
      <c r="A31" s="21" t="s">
        <v>138</v>
      </c>
      <c r="B31" s="144">
        <f>B22*Input!$B$13</f>
        <v>321.40517417226289</v>
      </c>
      <c r="C31" s="145">
        <f>C22*Input!$B$13</f>
        <v>545.9396450077578</v>
      </c>
      <c r="D31" s="146">
        <f>D22*Input!$B$13</f>
        <v>382.95269409671323</v>
      </c>
      <c r="E31" s="144">
        <f>E22*Input!$B$13</f>
        <v>1055.1455777347496</v>
      </c>
      <c r="F31" s="145">
        <f>F22*Input!$B$13</f>
        <v>1179.647926414824</v>
      </c>
      <c r="G31" s="146">
        <f>G22*Input!$B$13</f>
        <v>1174.8593745425135</v>
      </c>
      <c r="H31" s="144">
        <f>H22*Input!$B$13</f>
        <v>321.66163708857283</v>
      </c>
      <c r="I31" s="145">
        <f>I22*Input!$B$13</f>
        <v>560.27693644230681</v>
      </c>
      <c r="J31" s="146">
        <f>J22*Input!$B$13</f>
        <v>388.1442154511235</v>
      </c>
    </row>
    <row r="32" spans="1:10" ht="13">
      <c r="A32" s="21" t="s">
        <v>139</v>
      </c>
      <c r="B32" s="144">
        <f>B23*Input!$B$13</f>
        <v>316.62082665345872</v>
      </c>
      <c r="C32" s="145">
        <f>C23*Input!$B$13</f>
        <v>538.4998444709006</v>
      </c>
      <c r="D32" s="146">
        <f>D23*Input!$B$13</f>
        <v>377.44045590290983</v>
      </c>
      <c r="E32" s="144">
        <f>E23*Input!$B$13</f>
        <v>1042.4903358328165</v>
      </c>
      <c r="F32" s="145">
        <f>F23*Input!$B$13</f>
        <v>1166.2041959208702</v>
      </c>
      <c r="G32" s="146">
        <f>G23*Input!$B$13</f>
        <v>1161.4459705328682</v>
      </c>
      <c r="H32" s="144">
        <f>H23*Input!$B$13</f>
        <v>316.87453847071811</v>
      </c>
      <c r="I32" s="145">
        <f>I23*Input!$B$13</f>
        <v>552.70130038605828</v>
      </c>
      <c r="J32" s="146">
        <f>J23*Input!$B$13</f>
        <v>382.58017939771037</v>
      </c>
    </row>
    <row r="33" spans="1:12" ht="13">
      <c r="A33" s="47"/>
      <c r="B33" s="144"/>
      <c r="C33" s="145"/>
      <c r="D33" s="146"/>
      <c r="E33" s="144"/>
      <c r="F33" s="145"/>
      <c r="G33" s="146"/>
      <c r="H33" s="144"/>
      <c r="I33" s="145"/>
      <c r="J33" s="146"/>
    </row>
    <row r="34" spans="1:12" ht="13">
      <c r="A34" s="11" t="s">
        <v>17</v>
      </c>
      <c r="B34" s="144">
        <f>SUM(B29:B31)</f>
        <v>2586.0608757558434</v>
      </c>
      <c r="C34" s="145">
        <f t="shared" ref="C34:D34" si="9">SUM(C29:C31)</f>
        <v>15963.532123382292</v>
      </c>
      <c r="D34" s="146">
        <f t="shared" si="9"/>
        <v>6252.9819284047153</v>
      </c>
      <c r="E34" s="144">
        <f>SUM(E29:E31)</f>
        <v>5422.7823464919275</v>
      </c>
      <c r="F34" s="145">
        <f t="shared" ref="F34:G34" si="10">SUM(F29:F31)</f>
        <v>6843.0938976408888</v>
      </c>
      <c r="G34" s="146">
        <f t="shared" si="10"/>
        <v>6788.4665302890044</v>
      </c>
      <c r="H34" s="144">
        <f>SUM(H29:H31)</f>
        <v>2587.0523897267408</v>
      </c>
      <c r="I34" s="145">
        <f t="shared" ref="I34:J34" si="11">SUM(I29:I31)</f>
        <v>15757.187367143793</v>
      </c>
      <c r="J34" s="146">
        <f t="shared" si="11"/>
        <v>6256.4924174740536</v>
      </c>
    </row>
    <row r="35" spans="1:12" ht="13">
      <c r="A35" s="11" t="s">
        <v>82</v>
      </c>
      <c r="B35" s="144">
        <f>B29+B30+B32</f>
        <v>2581.2765282370392</v>
      </c>
      <c r="C35" s="145">
        <f t="shared" ref="C35:J35" si="12">C29+C30+C32</f>
        <v>15956.092322845434</v>
      </c>
      <c r="D35" s="146">
        <f t="shared" si="12"/>
        <v>6247.4696902109117</v>
      </c>
      <c r="E35" s="144">
        <f>E29+E30+E32</f>
        <v>5410.1271045899939</v>
      </c>
      <c r="F35" s="145">
        <f t="shared" si="12"/>
        <v>6829.650167146935</v>
      </c>
      <c r="G35" s="146">
        <f t="shared" si="12"/>
        <v>6775.0531262793593</v>
      </c>
      <c r="H35" s="144">
        <f>H29+H30+H32</f>
        <v>2582.2652911088862</v>
      </c>
      <c r="I35" s="145">
        <f t="shared" si="12"/>
        <v>15749.611731087543</v>
      </c>
      <c r="J35" s="146">
        <f t="shared" si="12"/>
        <v>6250.928381420641</v>
      </c>
    </row>
    <row r="36" spans="1:12" ht="13">
      <c r="A36" s="11"/>
      <c r="B36" s="144"/>
      <c r="C36" s="145"/>
      <c r="D36" s="146"/>
      <c r="E36" s="144"/>
      <c r="F36" s="145"/>
      <c r="G36" s="146"/>
      <c r="H36" s="144"/>
      <c r="I36" s="145"/>
      <c r="J36" s="146"/>
    </row>
    <row r="37" spans="1:12" ht="13">
      <c r="A37" s="11" t="s">
        <v>118</v>
      </c>
      <c r="B37" s="139">
        <f>'NCO Agricultural'!H15</f>
        <v>2917.3270827346309</v>
      </c>
      <c r="C37" s="140">
        <f>'NCO Agricultural'!H16</f>
        <v>1006.5026174809886</v>
      </c>
      <c r="D37" s="142">
        <f>B37+C37</f>
        <v>3923.8297002156196</v>
      </c>
      <c r="E37" s="139">
        <f>'NCO Agricultural'!I15</f>
        <v>1.9672890389587174</v>
      </c>
      <c r="F37" s="140">
        <f>'NCO Agricultural'!I16</f>
        <v>12.203010745421629</v>
      </c>
      <c r="G37" s="142">
        <f>E37+F37</f>
        <v>14.170299784380347</v>
      </c>
      <c r="H37" s="139">
        <f>'NCO Agricultural'!J15</f>
        <v>2919.2943717735898</v>
      </c>
      <c r="I37" s="140">
        <f>'NCO Agricultural'!J16</f>
        <v>1018.7056282264102</v>
      </c>
      <c r="J37" s="142">
        <f>H37+I37</f>
        <v>3938</v>
      </c>
      <c r="L37" s="54"/>
    </row>
    <row r="38" spans="1:12" ht="13">
      <c r="A38" s="21" t="s">
        <v>84</v>
      </c>
      <c r="B38" s="139">
        <f>'NCO Agricultural'!H36</f>
        <v>0</v>
      </c>
      <c r="C38" s="140">
        <f>'NCO Agricultural'!H37</f>
        <v>0</v>
      </c>
      <c r="D38" s="142">
        <f>B38+C38</f>
        <v>0</v>
      </c>
      <c r="E38" s="139">
        <f>'NCO Agricultural'!I36</f>
        <v>0</v>
      </c>
      <c r="F38" s="140">
        <f>'NCO Agricultural'!I37</f>
        <v>0</v>
      </c>
      <c r="G38" s="142">
        <f>E38+F38</f>
        <v>0</v>
      </c>
      <c r="H38" s="139">
        <f>'NCO Agricultural'!J36</f>
        <v>0</v>
      </c>
      <c r="I38" s="140">
        <f>'NCO Agricultural'!J37</f>
        <v>0</v>
      </c>
      <c r="J38" s="142">
        <f>H38+I38</f>
        <v>0</v>
      </c>
    </row>
    <row r="39" spans="1:12" ht="13">
      <c r="A39" s="21" t="s">
        <v>85</v>
      </c>
      <c r="B39" s="139">
        <f>'NCO Agricultural'!H45</f>
        <v>43.759906241019465</v>
      </c>
      <c r="C39" s="140">
        <f>'NCO Agricultural'!H46</f>
        <v>15.097539262214829</v>
      </c>
      <c r="D39" s="142">
        <f>B39+C39</f>
        <v>58.857445503234295</v>
      </c>
      <c r="E39" s="139">
        <f>'NCO Agricultural'!I45</f>
        <v>2.950933558438076E-2</v>
      </c>
      <c r="F39" s="140">
        <f>'NCO Agricultural'!I46</f>
        <v>0.18304516118132444</v>
      </c>
      <c r="G39" s="142">
        <f>E39+F39</f>
        <v>0.2125544967657052</v>
      </c>
      <c r="H39" s="139">
        <f>'NCO Agricultural'!J45</f>
        <v>43.789415576603844</v>
      </c>
      <c r="I39" s="140">
        <f>'NCO Agricultural'!J46</f>
        <v>15.280584423396153</v>
      </c>
      <c r="J39" s="142">
        <f>H39+I39</f>
        <v>59.069999999999993</v>
      </c>
    </row>
    <row r="40" spans="1:12" ht="13">
      <c r="A40" s="11"/>
      <c r="B40" s="144"/>
      <c r="C40" s="145"/>
      <c r="D40" s="146"/>
      <c r="E40" s="144"/>
      <c r="F40" s="145"/>
      <c r="G40" s="146"/>
      <c r="H40" s="144"/>
      <c r="I40" s="145"/>
      <c r="J40" s="146"/>
    </row>
    <row r="41" spans="1:12" ht="13">
      <c r="A41" s="11" t="s">
        <v>119</v>
      </c>
      <c r="B41" s="123">
        <f>(B34*B38+B35*B39)/B37</f>
        <v>38.719147923555589</v>
      </c>
      <c r="C41" s="33">
        <f t="shared" ref="C41:J41" si="13">(C34*C38+C35*C39)/C37</f>
        <v>239.34138484268149</v>
      </c>
      <c r="D41" s="34">
        <f t="shared" si="13"/>
        <v>93.712045353163674</v>
      </c>
      <c r="E41" s="123">
        <f>(E34*E38+E35*E39)/E37</f>
        <v>81.15190656884991</v>
      </c>
      <c r="F41" s="33">
        <f t="shared" si="13"/>
        <v>102.44475250720402</v>
      </c>
      <c r="G41" s="34">
        <f t="shared" si="13"/>
        <v>101.62579689419039</v>
      </c>
      <c r="H41" s="123">
        <f>(H34*H38+H35*H39)/H37</f>
        <v>38.733979366633292</v>
      </c>
      <c r="I41" s="33">
        <f t="shared" si="13"/>
        <v>236.24417596631315</v>
      </c>
      <c r="J41" s="34">
        <f t="shared" si="13"/>
        <v>93.763925721309604</v>
      </c>
    </row>
    <row r="42" spans="1:12" ht="13">
      <c r="A42" s="11"/>
      <c r="B42" s="144"/>
      <c r="C42" s="145"/>
      <c r="D42" s="146"/>
      <c r="E42" s="144"/>
      <c r="F42" s="145"/>
      <c r="G42" s="146"/>
      <c r="H42" s="144"/>
      <c r="I42" s="145"/>
      <c r="J42" s="146"/>
    </row>
    <row r="43" spans="1:12" ht="13">
      <c r="A43" s="40" t="s">
        <v>21</v>
      </c>
      <c r="B43" s="234">
        <f>'[6]Agric Cust Cost Summary'!B29</f>
        <v>39.974565600297041</v>
      </c>
      <c r="C43" s="235">
        <f>'[6]Agric Cust Cost Summary'!C29</f>
        <v>71.759518172995357</v>
      </c>
      <c r="D43" s="236">
        <f>'[6]Agric Cust Cost Summary'!D29</f>
        <v>48.687192193828558</v>
      </c>
      <c r="E43" s="234">
        <f>'[6]Agric Cust Cost Summary'!E29</f>
        <v>53.770018838134376</v>
      </c>
      <c r="F43" s="235">
        <f>'[6]Agric Cust Cost Summary'!F29</f>
        <v>53.876069091137012</v>
      </c>
      <c r="G43" s="236">
        <f>'[6]Agric Cust Cost Summary'!G29</f>
        <v>53.871990235252291</v>
      </c>
      <c r="H43" s="234">
        <f>'[6]Agric Cust Cost Summary'!H29</f>
        <v>39.933735848360378</v>
      </c>
      <c r="I43" s="235">
        <f>'[6]Agric Cust Cost Summary'!I29</f>
        <v>71.473113780671525</v>
      </c>
      <c r="J43" s="236">
        <f>'[6]Agric Cust Cost Summary'!J29</f>
        <v>48.721182296974554</v>
      </c>
      <c r="L43" s="53"/>
    </row>
    <row r="44" spans="1:12" ht="13">
      <c r="A44" s="40" t="s">
        <v>81</v>
      </c>
      <c r="B44" s="234">
        <f>'[6]Agric Cust Cost Summary'!B30</f>
        <v>-3.0284021924274875</v>
      </c>
      <c r="C44" s="235">
        <f>'[6]Agric Cust Cost Summary'!C30</f>
        <v>-3.0284021924274875</v>
      </c>
      <c r="D44" s="236">
        <f>'[6]Agric Cust Cost Summary'!D30</f>
        <v>-3.0284021924274875</v>
      </c>
      <c r="E44" s="234">
        <f>'[6]Agric Cust Cost Summary'!E30</f>
        <v>-3.0284021924274875</v>
      </c>
      <c r="F44" s="235">
        <f>'[6]Agric Cust Cost Summary'!F30</f>
        <v>-3.0284021924274875</v>
      </c>
      <c r="G44" s="236">
        <f>'[6]Agric Cust Cost Summary'!G30</f>
        <v>-3.0284021924274875</v>
      </c>
      <c r="H44" s="234">
        <f>'[6]Agric Cust Cost Summary'!H30</f>
        <v>-3.0284021924274875</v>
      </c>
      <c r="I44" s="235">
        <f>'[6]Agric Cust Cost Summary'!I30</f>
        <v>-3.0284021924274875</v>
      </c>
      <c r="J44" s="236">
        <f>'[6]Agric Cust Cost Summary'!J30</f>
        <v>-3.0284021924274875</v>
      </c>
    </row>
    <row r="45" spans="1:12" ht="16">
      <c r="A45" s="40" t="s">
        <v>22</v>
      </c>
      <c r="B45" s="237">
        <f>'[6]Agric Cust Cost Summary'!B33</f>
        <v>160.05279683391606</v>
      </c>
      <c r="C45" s="238">
        <f>'[6]Agric Cust Cost Summary'!C33</f>
        <v>160.05279683391601</v>
      </c>
      <c r="D45" s="239">
        <f>'[6]Agric Cust Cost Summary'!D33</f>
        <v>160.05279683391601</v>
      </c>
      <c r="E45" s="237">
        <f>'[6]Agric Cust Cost Summary'!E33</f>
        <v>160.05279683391606</v>
      </c>
      <c r="F45" s="238">
        <f>'[6]Agric Cust Cost Summary'!F33</f>
        <v>160.05279683391606</v>
      </c>
      <c r="G45" s="239">
        <f>'[6]Agric Cust Cost Summary'!G33</f>
        <v>160.05279683391606</v>
      </c>
      <c r="H45" s="237">
        <f>'[6]Agric Cust Cost Summary'!H33</f>
        <v>160.05279683391606</v>
      </c>
      <c r="I45" s="238">
        <f>'[6]Agric Cust Cost Summary'!I33</f>
        <v>160.05279683391606</v>
      </c>
      <c r="J45" s="239">
        <f>'[6]Agric Cust Cost Summary'!J33</f>
        <v>160.05279683391606</v>
      </c>
    </row>
    <row r="46" spans="1:12" ht="13">
      <c r="A46" s="11" t="s">
        <v>120</v>
      </c>
      <c r="B46" s="164">
        <f t="shared" ref="B46:J46" si="14">B43+B44+B45</f>
        <v>196.99896024178562</v>
      </c>
      <c r="C46" s="165">
        <f t="shared" si="14"/>
        <v>228.78391281448387</v>
      </c>
      <c r="D46" s="166">
        <f t="shared" si="14"/>
        <v>205.71158683531706</v>
      </c>
      <c r="E46" s="164">
        <f t="shared" si="14"/>
        <v>210.79441347962296</v>
      </c>
      <c r="F46" s="165">
        <f t="shared" si="14"/>
        <v>210.90046373262558</v>
      </c>
      <c r="G46" s="166">
        <f t="shared" si="14"/>
        <v>210.89638487674085</v>
      </c>
      <c r="H46" s="164">
        <f t="shared" si="14"/>
        <v>196.95813048984894</v>
      </c>
      <c r="I46" s="165">
        <f t="shared" si="14"/>
        <v>228.49750842216008</v>
      </c>
      <c r="J46" s="166">
        <f t="shared" si="14"/>
        <v>205.74557693846313</v>
      </c>
    </row>
    <row r="47" spans="1:12">
      <c r="A47" s="27"/>
      <c r="B47" s="167"/>
      <c r="C47" s="161"/>
      <c r="D47" s="168"/>
      <c r="E47" s="167"/>
      <c r="F47" s="161"/>
      <c r="G47" s="168"/>
      <c r="H47" s="167"/>
      <c r="I47" s="161"/>
      <c r="J47" s="168"/>
    </row>
    <row r="48" spans="1:12" ht="13">
      <c r="A48" s="11" t="s">
        <v>121</v>
      </c>
      <c r="B48" s="169">
        <f>B41+B46</f>
        <v>235.71810816534122</v>
      </c>
      <c r="C48" s="104">
        <f t="shared" ref="C48:J48" si="15">C41+C46</f>
        <v>468.12529765716533</v>
      </c>
      <c r="D48" s="105">
        <f t="shared" si="15"/>
        <v>299.42363218848072</v>
      </c>
      <c r="E48" s="169">
        <f t="shared" si="15"/>
        <v>291.9463200484729</v>
      </c>
      <c r="F48" s="104">
        <f t="shared" si="15"/>
        <v>313.3452162398296</v>
      </c>
      <c r="G48" s="105">
        <f t="shared" si="15"/>
        <v>312.52218177093124</v>
      </c>
      <c r="H48" s="169">
        <f t="shared" si="15"/>
        <v>235.69210985648223</v>
      </c>
      <c r="I48" s="104">
        <f t="shared" si="15"/>
        <v>464.74168438847323</v>
      </c>
      <c r="J48" s="105">
        <f t="shared" si="15"/>
        <v>299.50950265977275</v>
      </c>
    </row>
    <row r="49" spans="1:11" ht="13" thickBot="1">
      <c r="A49" s="353"/>
      <c r="B49" s="170"/>
      <c r="C49" s="171"/>
      <c r="D49" s="126"/>
      <c r="E49" s="170"/>
      <c r="F49" s="171"/>
      <c r="G49" s="126"/>
      <c r="H49" s="170"/>
      <c r="I49" s="171"/>
      <c r="J49" s="126"/>
    </row>
    <row r="50" spans="1:11">
      <c r="A50" s="205" t="s">
        <v>131</v>
      </c>
      <c r="B50" s="196"/>
      <c r="C50" s="196"/>
      <c r="D50" s="196"/>
      <c r="E50" s="196"/>
      <c r="F50" s="196"/>
      <c r="G50" s="196"/>
      <c r="H50" s="196"/>
      <c r="I50" s="196"/>
      <c r="J50" s="197"/>
      <c r="K50" s="98"/>
    </row>
    <row r="51" spans="1:11" ht="13" thickBot="1">
      <c r="A51" s="179" t="s">
        <v>130</v>
      </c>
      <c r="B51" s="106"/>
      <c r="C51" s="106"/>
      <c r="D51" s="106"/>
      <c r="E51" s="106"/>
      <c r="F51" s="106"/>
      <c r="G51" s="106"/>
      <c r="H51" s="106"/>
      <c r="I51" s="106"/>
      <c r="J51" s="107"/>
      <c r="K51" s="98"/>
    </row>
    <row r="53" spans="1:11">
      <c r="B53" s="53"/>
      <c r="C53" s="53"/>
      <c r="D53" s="53"/>
      <c r="E53" s="53"/>
      <c r="F53" s="53"/>
      <c r="G53" s="53"/>
      <c r="H53" s="53"/>
      <c r="I53" s="53"/>
      <c r="J53" s="53"/>
    </row>
    <row r="55" spans="1:11">
      <c r="A55" s="55"/>
    </row>
    <row r="67" spans="1:1">
      <c r="A67" s="55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topLeftCell="A25" zoomScaleNormal="100" workbookViewId="0">
      <selection activeCell="A31" sqref="A31:A32"/>
    </sheetView>
  </sheetViews>
  <sheetFormatPr defaultColWidth="9.1796875" defaultRowHeight="12.5"/>
  <cols>
    <col min="1" max="1" width="70.7265625" style="41" customWidth="1"/>
    <col min="2" max="2" width="60.7265625" style="41" customWidth="1"/>
    <col min="3" max="3" width="9.1796875" style="41"/>
    <col min="4" max="4" width="14.453125" style="41" bestFit="1" customWidth="1"/>
    <col min="5" max="5" width="11.81640625" style="41" bestFit="1" customWidth="1"/>
    <col min="6" max="16384" width="9.1796875" style="41"/>
  </cols>
  <sheetData>
    <row r="1" spans="1:4" ht="18.5" thickBot="1">
      <c r="A1" s="401" t="s">
        <v>93</v>
      </c>
      <c r="B1" s="401"/>
    </row>
    <row r="2" spans="1:4" ht="13">
      <c r="A2" s="322"/>
      <c r="B2" s="323"/>
    </row>
    <row r="3" spans="1:4" ht="13.5" thickBot="1">
      <c r="A3" s="42" t="s">
        <v>0</v>
      </c>
      <c r="B3" s="43" t="s">
        <v>54</v>
      </c>
    </row>
    <row r="4" spans="1:4" ht="13">
      <c r="A4" s="44"/>
      <c r="B4" s="46"/>
    </row>
    <row r="5" spans="1:4" ht="13">
      <c r="A5" s="47"/>
      <c r="B5" s="49"/>
    </row>
    <row r="6" spans="1:4" ht="13">
      <c r="A6" s="47" t="s">
        <v>55</v>
      </c>
      <c r="B6" s="95"/>
    </row>
    <row r="7" spans="1:4" ht="13">
      <c r="A7" s="50"/>
      <c r="B7" s="95"/>
    </row>
    <row r="8" spans="1:4" ht="13">
      <c r="A8" s="47" t="s">
        <v>14</v>
      </c>
      <c r="B8" s="240">
        <f>'[6]Street Light Cust Cost Summary'!B8</f>
        <v>35.14957239012459</v>
      </c>
      <c r="C8" s="57"/>
      <c r="D8" s="53"/>
    </row>
    <row r="9" spans="1:4" ht="13">
      <c r="A9" s="47" t="s">
        <v>15</v>
      </c>
      <c r="B9" s="240">
        <f>'[6]Street Light Cust Cost Summary'!B9</f>
        <v>46.972334953224312</v>
      </c>
      <c r="C9" s="57"/>
    </row>
    <row r="10" spans="1:4" ht="13">
      <c r="A10" s="47" t="s">
        <v>16</v>
      </c>
      <c r="B10" s="240">
        <f>'[6]Street Light Cust Cost Summary'!B10</f>
        <v>0</v>
      </c>
    </row>
    <row r="11" spans="1:4" ht="13">
      <c r="A11" s="51"/>
      <c r="B11" s="95"/>
    </row>
    <row r="12" spans="1:4" ht="13">
      <c r="A12" s="47" t="s">
        <v>17</v>
      </c>
      <c r="B12" s="25">
        <f>SUM(B8:B10)</f>
        <v>82.121907343348909</v>
      </c>
    </row>
    <row r="13" spans="1:4" ht="13">
      <c r="A13" s="51"/>
      <c r="B13" s="25"/>
    </row>
    <row r="14" spans="1:4" ht="13">
      <c r="A14" s="47" t="s">
        <v>25</v>
      </c>
      <c r="B14" s="25">
        <f>B12*A15</f>
        <v>2.2767200753130625</v>
      </c>
    </row>
    <row r="15" spans="1:4" ht="13">
      <c r="A15" s="52">
        <f>Input!B3</f>
        <v>2.7723662892949787E-2</v>
      </c>
      <c r="B15" s="25"/>
    </row>
    <row r="16" spans="1:4" ht="13">
      <c r="A16" s="47" t="s">
        <v>26</v>
      </c>
      <c r="B16" s="25">
        <f>(B12+B14)*A17</f>
        <v>1.2679205797105588</v>
      </c>
    </row>
    <row r="17" spans="1:5" ht="13">
      <c r="A17" s="52">
        <f>Input!B4</f>
        <v>1.5023E-2</v>
      </c>
      <c r="B17" s="25"/>
    </row>
    <row r="18" spans="1:5" ht="13">
      <c r="A18" s="21" t="s">
        <v>27</v>
      </c>
      <c r="B18" s="25">
        <f>(B8*(1+$A$15)*(1+$A$17))</f>
        <v>36.666738848275813</v>
      </c>
    </row>
    <row r="19" spans="1:5" ht="13">
      <c r="A19" s="21" t="s">
        <v>15</v>
      </c>
      <c r="B19" s="25">
        <f>(B9*(1+$A$15)*(1+$A$17))</f>
        <v>48.999809150096709</v>
      </c>
    </row>
    <row r="20" spans="1:5" ht="13">
      <c r="A20" s="21" t="s">
        <v>16</v>
      </c>
      <c r="B20" s="25">
        <f>(B10*(1+$A$15)*(1+$A$17))</f>
        <v>0</v>
      </c>
    </row>
    <row r="21" spans="1:5" ht="13">
      <c r="A21" s="52"/>
      <c r="B21" s="25"/>
    </row>
    <row r="22" spans="1:5" ht="13">
      <c r="A22" s="47" t="s">
        <v>17</v>
      </c>
      <c r="B22" s="25">
        <f>SUM(B18:B20)</f>
        <v>85.666547998372522</v>
      </c>
    </row>
    <row r="23" spans="1:5" ht="13">
      <c r="A23" s="51"/>
      <c r="B23" s="25"/>
    </row>
    <row r="24" spans="1:5" ht="13">
      <c r="A24" s="21" t="s">
        <v>20</v>
      </c>
      <c r="B24" s="25"/>
    </row>
    <row r="25" spans="1:5" ht="13">
      <c r="A25" s="21" t="s">
        <v>128</v>
      </c>
      <c r="B25" s="34">
        <f>B18*Input!$B$8</f>
        <v>45.378909051301349</v>
      </c>
    </row>
    <row r="26" spans="1:5" ht="13">
      <c r="A26" s="21" t="s">
        <v>129</v>
      </c>
      <c r="B26" s="34">
        <f>B19*Input!$B$9</f>
        <v>60.404182570913093</v>
      </c>
      <c r="C26" s="57"/>
    </row>
    <row r="27" spans="1:5" ht="13">
      <c r="A27" s="21" t="s">
        <v>138</v>
      </c>
      <c r="B27" s="34">
        <f>B20*Input!$B$13</f>
        <v>0</v>
      </c>
    </row>
    <row r="28" spans="1:5" ht="13">
      <c r="A28" s="21" t="s">
        <v>139</v>
      </c>
      <c r="B28" s="34"/>
    </row>
    <row r="29" spans="1:5" ht="13">
      <c r="A29" s="11" t="s">
        <v>59</v>
      </c>
      <c r="B29" s="34">
        <f>SUM(B25:B27)</f>
        <v>105.78309162221444</v>
      </c>
    </row>
    <row r="30" spans="1:5" ht="13">
      <c r="A30" s="11"/>
      <c r="B30" s="34"/>
    </row>
    <row r="31" spans="1:5" ht="13">
      <c r="A31" s="11" t="s">
        <v>126</v>
      </c>
      <c r="B31" s="285">
        <f>'[6]Street Light Cust Cost Summary'!$B$29</f>
        <v>161261.08333333334</v>
      </c>
      <c r="D31" s="119"/>
      <c r="E31" s="120"/>
    </row>
    <row r="32" spans="1:5" ht="13">
      <c r="A32" s="11" t="s">
        <v>127</v>
      </c>
      <c r="B32" s="285">
        <f>'[6]Street Light Cust Cost Summary'!$B$30</f>
        <v>5281</v>
      </c>
    </row>
    <row r="33" spans="1:5" ht="13">
      <c r="A33" s="11"/>
      <c r="B33" s="285"/>
    </row>
    <row r="34" spans="1:5" ht="13">
      <c r="A34" s="11" t="s">
        <v>87</v>
      </c>
      <c r="B34" s="34">
        <f>B29*B31/B32</f>
        <v>3230.2018468751298</v>
      </c>
    </row>
    <row r="35" spans="1:5" ht="13">
      <c r="A35" s="11"/>
      <c r="B35" s="23"/>
      <c r="D35" s="53"/>
    </row>
    <row r="36" spans="1:5" ht="13">
      <c r="A36" s="11" t="s">
        <v>118</v>
      </c>
      <c r="B36" s="39">
        <f>'NCO Lighting Cust Fcst'!B8</f>
        <v>5548</v>
      </c>
      <c r="D36" s="53"/>
    </row>
    <row r="37" spans="1:5" ht="13">
      <c r="A37" s="21" t="s">
        <v>11</v>
      </c>
      <c r="B37" s="39">
        <f>'NCO Lighting Cust Fcst'!B22</f>
        <v>83.22</v>
      </c>
    </row>
    <row r="38" spans="1:5" ht="13">
      <c r="A38" s="11"/>
      <c r="B38" s="34"/>
    </row>
    <row r="39" spans="1:5" ht="13">
      <c r="A39" s="11" t="s">
        <v>86</v>
      </c>
      <c r="B39" s="34">
        <f>B34*B37/B36</f>
        <v>48.453027703126949</v>
      </c>
      <c r="D39" s="53"/>
      <c r="E39" s="53"/>
    </row>
    <row r="40" spans="1:5" ht="13">
      <c r="A40" s="11" t="s">
        <v>76</v>
      </c>
      <c r="B40" s="34">
        <f>(B39*B36)/(B31*B36/B32)</f>
        <v>1.5867463743332169</v>
      </c>
      <c r="D40" s="53"/>
    </row>
    <row r="41" spans="1:5" ht="13">
      <c r="A41" s="11"/>
      <c r="B41" s="34"/>
      <c r="D41" s="53"/>
    </row>
    <row r="42" spans="1:5" ht="13">
      <c r="A42" s="40" t="s">
        <v>21</v>
      </c>
      <c r="B42" s="213">
        <f>'[6]Street Light Cust Cost Summary'!$B$34</f>
        <v>0.18642986720362764</v>
      </c>
    </row>
    <row r="43" spans="1:5" ht="13">
      <c r="A43" s="40" t="s">
        <v>81</v>
      </c>
      <c r="B43" s="34">
        <f>'[6]Street Light Cust Cost Summary'!$B$35</f>
        <v>-9.9174528954089847E-2</v>
      </c>
    </row>
    <row r="44" spans="1:5" ht="13">
      <c r="A44" s="40" t="s">
        <v>22</v>
      </c>
      <c r="B44" s="215">
        <f>'[6]Street Light Cust Cost Summary'!$B$38</f>
        <v>1.1316978447365378</v>
      </c>
    </row>
    <row r="45" spans="1:5" ht="13">
      <c r="A45" s="11" t="s">
        <v>122</v>
      </c>
      <c r="B45" s="34">
        <f>B42+B43+B44</f>
        <v>1.2189531829860756</v>
      </c>
    </row>
    <row r="46" spans="1:5" ht="13">
      <c r="A46" s="27"/>
      <c r="B46" s="34"/>
    </row>
    <row r="47" spans="1:5" ht="13">
      <c r="A47" s="11" t="s">
        <v>123</v>
      </c>
      <c r="B47" s="34">
        <f>B40+B45</f>
        <v>2.8056995573192927</v>
      </c>
    </row>
    <row r="48" spans="1:5" ht="13.5" thickBot="1">
      <c r="A48" s="65"/>
      <c r="B48" s="126"/>
    </row>
    <row r="49" spans="1:11">
      <c r="A49" s="203"/>
      <c r="B49" s="204"/>
    </row>
    <row r="50" spans="1:11">
      <c r="A50" s="176" t="s">
        <v>88</v>
      </c>
      <c r="B50" s="99"/>
      <c r="C50" s="1"/>
      <c r="D50" s="1"/>
      <c r="E50" s="1"/>
      <c r="F50" s="1"/>
      <c r="G50" s="1"/>
      <c r="H50" s="1"/>
      <c r="I50" s="1"/>
      <c r="J50" s="1"/>
      <c r="K50" s="1"/>
    </row>
    <row r="51" spans="1:11" ht="13" thickBot="1">
      <c r="A51" s="179" t="s">
        <v>136</v>
      </c>
      <c r="B51" s="126"/>
    </row>
    <row r="52" spans="1:11">
      <c r="A52" s="176"/>
      <c r="B52" s="56"/>
    </row>
    <row r="60" spans="1:11">
      <c r="A60" s="55"/>
    </row>
  </sheetData>
  <mergeCells count="1">
    <mergeCell ref="A1:B1"/>
  </mergeCells>
  <printOptions horizontalCentered="1"/>
  <pageMargins left="0.75" right="0.75" top="1" bottom="1" header="0.5" footer="0.5"/>
  <pageSetup scale="74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8"/>
  <sheetViews>
    <sheetView zoomScaleNormal="100" workbookViewId="0">
      <selection activeCell="J19" sqref="J19"/>
    </sheetView>
  </sheetViews>
  <sheetFormatPr defaultColWidth="9.1796875" defaultRowHeight="12.5"/>
  <cols>
    <col min="1" max="1" width="35.7265625" style="1" customWidth="1"/>
    <col min="2" max="2" width="18.54296875" style="1" bestFit="1" customWidth="1"/>
    <col min="3" max="3" width="11.1796875" style="1" customWidth="1"/>
    <col min="4" max="4" width="10.453125" style="1" customWidth="1"/>
    <col min="5" max="10" width="10.7265625" style="1" customWidth="1"/>
    <col min="11" max="11" width="12.7265625" style="1" customWidth="1"/>
    <col min="12" max="12" width="9.1796875" style="1"/>
    <col min="13" max="13" width="11.81640625" style="1" bestFit="1" customWidth="1"/>
    <col min="14" max="16384" width="9.1796875" style="1"/>
  </cols>
  <sheetData>
    <row r="1" spans="1:14" ht="18.5" thickBot="1">
      <c r="A1" s="388" t="s">
        <v>124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4" ht="13">
      <c r="A2" s="2"/>
      <c r="B2" s="3"/>
      <c r="C2" s="3"/>
      <c r="D2" s="3"/>
      <c r="E2" s="3"/>
      <c r="F2" s="3"/>
      <c r="G2" s="184"/>
      <c r="H2" s="184"/>
      <c r="I2" s="3"/>
      <c r="J2" s="3"/>
      <c r="K2" s="4"/>
    </row>
    <row r="3" spans="1:14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4" ht="13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4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4" ht="14.5">
      <c r="A6" s="11" t="s">
        <v>103</v>
      </c>
      <c r="B6" s="242">
        <f>('[1]SDGE-CustMonth-Forecast A'!$T$11+'[1]SDGE-CustMonth-Forecast A'!$T$15)/12</f>
        <v>1263309.8333333333</v>
      </c>
      <c r="C6" s="242">
        <f>'[1]SDGE-CustMonth-Forecast A'!$T$47/12</f>
        <v>3434.3333333333335</v>
      </c>
      <c r="D6" s="242">
        <f>'[1]SDGE-CustMonth-Forecast A'!$T$51/12</f>
        <v>233</v>
      </c>
      <c r="E6" s="242">
        <f>('[1]SDGE-CustMonth-Forecast A'!$T$59+'[1]SDGE-CustMonth-Forecast A'!$T$63)/12</f>
        <v>359</v>
      </c>
      <c r="F6" s="242">
        <f>('[1]SDGE-CustMonth-Forecast A'!$T$67+'[1]SDGE-CustMonth-Forecast A'!$T$71)/12</f>
        <v>47</v>
      </c>
      <c r="G6" s="359">
        <f>('[1]SDGE-CustMonth-Forecast A'!$T$19+'[1]SDGE-CustMonth-Forecast A'!$T$23)/12</f>
        <v>969</v>
      </c>
      <c r="H6" s="242">
        <f>('[1]SDGE-CustMonth-Forecast A'!$T$27+'[1]SDGE-CustMonth-Forecast A'!$T$31)/12</f>
        <v>32130</v>
      </c>
      <c r="I6" s="242">
        <f>'[1]SDGE-CustMonth-Forecast A'!$T$35/12</f>
        <v>204</v>
      </c>
      <c r="J6" s="242">
        <f>('[1]SDGE-CustMonth-Forecast A'!$T$39+'[1]SDGE-CustMonth-Forecast A'!$T$43)/12</f>
        <v>17144.666666666668</v>
      </c>
      <c r="K6" s="15">
        <f>SUM(B6:J6)</f>
        <v>1317830.8333333333</v>
      </c>
      <c r="L6" s="16"/>
      <c r="M6" s="17"/>
    </row>
    <row r="7" spans="1:14" ht="13">
      <c r="A7" s="11"/>
      <c r="B7" s="242"/>
      <c r="C7" s="242"/>
      <c r="D7" s="242"/>
      <c r="E7" s="242"/>
      <c r="F7" s="242"/>
      <c r="G7" s="359"/>
      <c r="H7" s="242"/>
      <c r="I7" s="242"/>
      <c r="J7" s="242"/>
      <c r="K7" s="15"/>
    </row>
    <row r="8" spans="1:14" ht="13">
      <c r="A8" s="11" t="s">
        <v>104</v>
      </c>
      <c r="B8" s="242">
        <f>'[1]SDGE-Cust-Forecast'!$GC$11+'[1]SDGE-Cust-Forecast'!$GC$15</f>
        <v>1262148</v>
      </c>
      <c r="C8" s="242">
        <f>'[1]SDGE-Cust-Forecast'!$GC$47</f>
        <v>3456</v>
      </c>
      <c r="D8" s="242">
        <f>'[1]SDGE-Cust-Forecast'!$GC$51</f>
        <v>233</v>
      </c>
      <c r="E8" s="242">
        <f>'[1]SDGE-Cust-Forecast'!$GC$59+'[1]SDGE-Cust-Forecast'!$GC$63</f>
        <v>359</v>
      </c>
      <c r="F8" s="242">
        <f>'[1]SDGE-Cust-Forecast'!$GC$67+'[1]SDGE-Cust-Forecast'!$GC$71</f>
        <v>47</v>
      </c>
      <c r="G8" s="359">
        <f>'[1]SDGE-Cust-Forecast'!$GC$19+'[1]SDGE-Cust-Forecast'!$GC$23</f>
        <v>969</v>
      </c>
      <c r="H8" s="242">
        <f>'[1]SDGE-Cust-Forecast'!$GC$27+'[1]SDGE-Cust-Forecast'!$GC$31</f>
        <v>28403</v>
      </c>
      <c r="I8" s="242">
        <f>'[1]SDGE-Cust-Forecast'!$GC$35</f>
        <v>204</v>
      </c>
      <c r="J8" s="242">
        <f>'[1]SDGE-Cust-Forecast'!$GC$39+'[1]SDGE-Cust-Forecast'!$GC$43</f>
        <v>16171</v>
      </c>
      <c r="K8" s="15">
        <f>SUM(B8:J8)</f>
        <v>1311990</v>
      </c>
      <c r="L8" s="16"/>
      <c r="M8" s="18"/>
    </row>
    <row r="9" spans="1:14" ht="13">
      <c r="A9" s="11" t="s">
        <v>9</v>
      </c>
      <c r="B9" s="242"/>
      <c r="C9" s="242"/>
      <c r="D9" s="242"/>
      <c r="E9" s="242"/>
      <c r="F9" s="242"/>
      <c r="G9" s="242"/>
      <c r="H9" s="242"/>
      <c r="I9" s="242"/>
      <c r="J9" s="242"/>
      <c r="K9" s="15"/>
      <c r="M9" s="124"/>
    </row>
    <row r="10" spans="1:14" ht="13">
      <c r="A10" s="11"/>
      <c r="B10" s="242"/>
      <c r="C10" s="242"/>
      <c r="D10" s="242"/>
      <c r="E10" s="242"/>
      <c r="F10" s="242"/>
      <c r="G10" s="242"/>
      <c r="H10" s="242"/>
      <c r="I10" s="242"/>
      <c r="J10" s="242"/>
      <c r="K10" s="15"/>
    </row>
    <row r="11" spans="1:14" ht="13">
      <c r="A11" s="11" t="s">
        <v>105</v>
      </c>
      <c r="B11" s="242">
        <f>'[1]SDGE-Cust-Forecast'!$GO$11+'[1]SDGE-Cust-Forecast'!$GO$15-B8</f>
        <v>2499</v>
      </c>
      <c r="C11" s="242">
        <f>'[1]SDGE-Cust-Forecast'!$GO$47-C8</f>
        <v>-47</v>
      </c>
      <c r="D11" s="242">
        <f>'[1]SDGE-Cust-Forecast'!$GO$51+'[1]SDGE-Cust-Forecast'!$GO$55-D8</f>
        <v>0</v>
      </c>
      <c r="E11" s="242">
        <f>'[1]SDGE-Cust-Forecast'!$GO$59+'[1]SDGE-Cust-Forecast'!$GO$63-E8</f>
        <v>0</v>
      </c>
      <c r="F11" s="242">
        <f>'[1]SDGE-Cust-Forecast'!$GO$67+'[1]SDGE-Cust-Forecast'!$GO$71-F8</f>
        <v>0</v>
      </c>
      <c r="G11" s="242">
        <f>'[1]SDGE-Cust-Forecast'!$GO$19+'[1]SDGE-Cust-Forecast'!$GO$23-G8</f>
        <v>0</v>
      </c>
      <c r="H11" s="242">
        <f>'[1]SDGE-Cust-Forecast'!$GO$27+'[1]SDGE-Cust-Forecast'!$GO$31-H8</f>
        <v>8444</v>
      </c>
      <c r="I11" s="242">
        <f>'[1]SDGE-Cust-Forecast'!$GO$35-I8</f>
        <v>0</v>
      </c>
      <c r="J11" s="242">
        <f>'[1]SDGE-Cust-Forecast'!$GO$39+'[1]SDGE-Cust-Forecast'!$GO$43-J8</f>
        <v>2125</v>
      </c>
      <c r="K11" s="15">
        <f>SUM(B11:J11)</f>
        <v>13021</v>
      </c>
      <c r="L11" s="16"/>
      <c r="M11" s="18"/>
      <c r="N11" s="76"/>
    </row>
    <row r="12" spans="1:14" ht="13">
      <c r="A12" s="11" t="s">
        <v>106</v>
      </c>
      <c r="B12" s="242">
        <f>'[1]SDGE-Cust-Forecast'!$HA$11+'[1]SDGE-Cust-Forecast'!$HA$15-B11-B8</f>
        <v>852</v>
      </c>
      <c r="C12" s="242">
        <f>'[1]SDGE-Cust-Forecast'!$HA$47-C11-C8</f>
        <v>-46</v>
      </c>
      <c r="D12" s="242">
        <f>'[1]SDGE-Cust-Forecast'!$HA$51+'[1]SDGE-Cust-Forecast'!$HA$55-D11-D8</f>
        <v>-1</v>
      </c>
      <c r="E12" s="242">
        <f>'[1]SDGE-Cust-Forecast'!$HA$59+'[1]SDGE-Cust-Forecast'!$HA$63-E11-E8</f>
        <v>0</v>
      </c>
      <c r="F12" s="242">
        <f>'[1]SDGE-Cust-Forecast'!$HA$67+'[1]SDGE-Cust-Forecast'!$HA$71-F11-F8</f>
        <v>0</v>
      </c>
      <c r="G12" s="242">
        <f>'[1]SDGE-Cust-Forecast'!$HA$19+'[1]SDGE-Cust-Forecast'!$HA$23-G11-G8</f>
        <v>0</v>
      </c>
      <c r="H12" s="242">
        <f>'[1]SDGE-Cust-Forecast'!$HA$27+'[1]SDGE-Cust-Forecast'!$HA$31-H11-H8</f>
        <v>10256</v>
      </c>
      <c r="I12" s="242">
        <f>'[1]SDGE-Cust-Forecast'!$HA$35-I11-I8</f>
        <v>0</v>
      </c>
      <c r="J12" s="242">
        <f>'[1]SDGE-Cust-Forecast'!$HA$39+'[1]SDGE-Cust-Forecast'!$HA$43-J11-J8</f>
        <v>2125</v>
      </c>
      <c r="K12" s="15">
        <f>SUM(B12:J12)</f>
        <v>13186</v>
      </c>
      <c r="L12" s="16"/>
      <c r="M12" s="80"/>
      <c r="N12" s="76"/>
    </row>
    <row r="13" spans="1:14" ht="13">
      <c r="A13" s="11" t="s">
        <v>107</v>
      </c>
      <c r="B13" s="242">
        <f>'[1]SDGE-Cust-Forecast'!$HM$11+'[1]SDGE-Cust-Forecast'!$HM$15-B12-B11-B8</f>
        <v>-692</v>
      </c>
      <c r="C13" s="242">
        <f>'[1]SDGE-Cust-Forecast'!$HM$47-C12-C11-C8</f>
        <v>-46</v>
      </c>
      <c r="D13" s="242">
        <f>'[1]SDGE-Cust-Forecast'!$HM$51+'[1]SDGE-Cust-Forecast'!$HM$55-D12-D11-D8</f>
        <v>0</v>
      </c>
      <c r="E13" s="242">
        <f>'[1]SDGE-Cust-Forecast'!$HM$59+'[1]SDGE-Cust-Forecast'!$HM$63-E12-E11-E8</f>
        <v>0</v>
      </c>
      <c r="F13" s="242">
        <f>'[1]SDGE-Cust-Forecast'!$HM$67+'[1]SDGE-Cust-Forecast'!$HM$71-F12-F11-F8</f>
        <v>0</v>
      </c>
      <c r="G13" s="242">
        <f>'[1]SDGE-Cust-Forecast'!$HM$19+'[1]SDGE-Cust-Forecast'!$HM$23-G12-G11-G8</f>
        <v>0</v>
      </c>
      <c r="H13" s="242">
        <f>'[1]SDGE-Cust-Forecast'!$HM$27+'[1]SDGE-Cust-Forecast'!$HM$31-H12-H11-H8</f>
        <v>12234</v>
      </c>
      <c r="I13" s="242">
        <f>'[1]SDGE-Cust-Forecast'!$HM$35-I12-I11-I8</f>
        <v>0</v>
      </c>
      <c r="J13" s="242">
        <f>'[1]SDGE-Cust-Forecast'!$HM$39+'[1]SDGE-Cust-Forecast'!$HM$43-J12-J11-J8</f>
        <v>2125</v>
      </c>
      <c r="K13" s="15">
        <f>SUM(B13:J13)</f>
        <v>13621</v>
      </c>
      <c r="L13" s="16"/>
      <c r="M13" s="80"/>
      <c r="N13" s="76"/>
    </row>
    <row r="14" spans="1:14" ht="13">
      <c r="A14" s="11"/>
      <c r="B14" s="19"/>
      <c r="C14" s="19"/>
      <c r="D14" s="19"/>
      <c r="E14" s="19"/>
      <c r="F14" s="19"/>
      <c r="G14" s="19"/>
      <c r="H14" s="19"/>
      <c r="I14" s="19"/>
      <c r="J14" s="19"/>
      <c r="K14" s="15"/>
    </row>
    <row r="15" spans="1:14" ht="13">
      <c r="A15" s="11" t="s">
        <v>115</v>
      </c>
      <c r="B15" s="185">
        <f>ROUND(SUM(B11:B13)/3,0)</f>
        <v>886</v>
      </c>
      <c r="C15" s="185">
        <f t="shared" ref="C15:J15" si="0">ROUND(SUM(C11:C13)/3,0)</f>
        <v>-46</v>
      </c>
      <c r="D15" s="185">
        <f t="shared" si="0"/>
        <v>0</v>
      </c>
      <c r="E15" s="185">
        <f t="shared" si="0"/>
        <v>0</v>
      </c>
      <c r="F15" s="185">
        <f t="shared" si="0"/>
        <v>0</v>
      </c>
      <c r="G15" s="185">
        <f>ROUND(SUM(G11:G13)/3,0)</f>
        <v>0</v>
      </c>
      <c r="H15" s="185">
        <f>ROUND(SUM(H11:H13)/3,0)</f>
        <v>10311</v>
      </c>
      <c r="I15" s="185">
        <f t="shared" si="0"/>
        <v>0</v>
      </c>
      <c r="J15" s="185">
        <f t="shared" si="0"/>
        <v>2125</v>
      </c>
      <c r="K15" s="186">
        <f>SUM(B15:J15)</f>
        <v>13276</v>
      </c>
    </row>
    <row r="16" spans="1:14" ht="13">
      <c r="A16" s="11"/>
      <c r="B16" s="19"/>
      <c r="C16" s="19"/>
      <c r="D16" s="19"/>
      <c r="E16" s="19"/>
      <c r="F16" s="19"/>
      <c r="G16" s="19"/>
      <c r="H16" s="19"/>
      <c r="I16" s="19"/>
      <c r="J16" s="19"/>
      <c r="K16" s="15"/>
    </row>
    <row r="17" spans="1:13" ht="13">
      <c r="A17" s="11" t="s">
        <v>75</v>
      </c>
      <c r="B17" s="19">
        <f>IF(B15&lt;0,0,B15)</f>
        <v>886</v>
      </c>
      <c r="C17" s="19">
        <f t="shared" ref="C17:J17" si="1">IF(C15&lt;0,0,C15)</f>
        <v>0</v>
      </c>
      <c r="D17" s="19">
        <f t="shared" si="1"/>
        <v>0</v>
      </c>
      <c r="E17" s="19">
        <f t="shared" si="1"/>
        <v>0</v>
      </c>
      <c r="F17" s="19">
        <f t="shared" si="1"/>
        <v>0</v>
      </c>
      <c r="G17" s="19">
        <f t="shared" si="1"/>
        <v>0</v>
      </c>
      <c r="H17" s="19">
        <f t="shared" si="1"/>
        <v>10311</v>
      </c>
      <c r="I17" s="19">
        <f t="shared" si="1"/>
        <v>0</v>
      </c>
      <c r="J17" s="19">
        <f t="shared" si="1"/>
        <v>2125</v>
      </c>
      <c r="K17" s="15">
        <f>SUM(B17:J17)</f>
        <v>13322</v>
      </c>
    </row>
    <row r="18" spans="1:13" ht="13">
      <c r="A18" s="20"/>
      <c r="B18" s="19"/>
      <c r="C18" s="19"/>
      <c r="D18" s="19"/>
      <c r="E18" s="19"/>
      <c r="F18" s="19"/>
      <c r="G18" s="19"/>
      <c r="H18" s="19"/>
      <c r="I18" s="19"/>
      <c r="J18" s="19"/>
      <c r="K18" s="15"/>
    </row>
    <row r="19" spans="1:13" ht="13">
      <c r="A19" s="11" t="s">
        <v>10</v>
      </c>
      <c r="B19" s="19">
        <f t="shared" ref="B19:J19" si="2">0.015*B8</f>
        <v>18932.219999999998</v>
      </c>
      <c r="C19" s="19">
        <f t="shared" si="2"/>
        <v>51.839999999999996</v>
      </c>
      <c r="D19" s="19">
        <f t="shared" si="2"/>
        <v>3.4949999999999997</v>
      </c>
      <c r="E19" s="19">
        <f t="shared" si="2"/>
        <v>5.3849999999999998</v>
      </c>
      <c r="F19" s="19">
        <f t="shared" si="2"/>
        <v>0.70499999999999996</v>
      </c>
      <c r="G19" s="19">
        <f t="shared" si="2"/>
        <v>14.535</v>
      </c>
      <c r="H19" s="19">
        <f t="shared" si="2"/>
        <v>426.04499999999996</v>
      </c>
      <c r="I19" s="19">
        <f t="shared" si="2"/>
        <v>3.06</v>
      </c>
      <c r="J19" s="19">
        <f t="shared" si="2"/>
        <v>242.565</v>
      </c>
      <c r="K19" s="15">
        <f>SUM(B19:J19)</f>
        <v>19679.849999999995</v>
      </c>
    </row>
    <row r="20" spans="1:13" ht="13">
      <c r="A20" s="21" t="s">
        <v>142</v>
      </c>
      <c r="B20" s="19"/>
      <c r="C20" s="19"/>
      <c r="D20" s="19"/>
      <c r="E20" s="19"/>
      <c r="F20" s="19"/>
      <c r="G20" s="19"/>
      <c r="H20" s="19"/>
      <c r="I20" s="19"/>
      <c r="J20" s="19"/>
      <c r="K20" s="15"/>
    </row>
    <row r="21" spans="1:13" ht="13">
      <c r="A21" s="11"/>
      <c r="B21" s="19"/>
      <c r="C21" s="19"/>
      <c r="D21" s="19"/>
      <c r="E21" s="19"/>
      <c r="F21" s="19"/>
      <c r="G21" s="19"/>
      <c r="H21" s="19"/>
      <c r="I21" s="19"/>
      <c r="J21" s="19"/>
      <c r="K21" s="15"/>
    </row>
    <row r="22" spans="1:13" ht="13">
      <c r="A22" s="11" t="s">
        <v>11</v>
      </c>
      <c r="B22" s="19">
        <f t="shared" ref="B22:J22" si="3">B17+B19</f>
        <v>19818.219999999998</v>
      </c>
      <c r="C22" s="19">
        <f t="shared" si="3"/>
        <v>51.839999999999996</v>
      </c>
      <c r="D22" s="19">
        <f t="shared" si="3"/>
        <v>3.4949999999999997</v>
      </c>
      <c r="E22" s="19">
        <f t="shared" si="3"/>
        <v>5.3849999999999998</v>
      </c>
      <c r="F22" s="19">
        <f t="shared" si="3"/>
        <v>0.70499999999999996</v>
      </c>
      <c r="G22" s="19">
        <f t="shared" si="3"/>
        <v>14.535</v>
      </c>
      <c r="H22" s="19">
        <f t="shared" si="3"/>
        <v>10737.045</v>
      </c>
      <c r="I22" s="19">
        <f t="shared" si="3"/>
        <v>3.06</v>
      </c>
      <c r="J22" s="19">
        <f t="shared" si="3"/>
        <v>2367.5650000000001</v>
      </c>
      <c r="K22" s="15">
        <f>SUM(B22:J22)</f>
        <v>33001.85</v>
      </c>
      <c r="M22" s="76"/>
    </row>
    <row r="23" spans="1:13" ht="13.5" thickBot="1">
      <c r="A23" s="65"/>
      <c r="B23" s="19"/>
      <c r="C23" s="66"/>
      <c r="D23" s="66"/>
      <c r="E23" s="66"/>
      <c r="F23" s="66"/>
      <c r="G23" s="66"/>
      <c r="H23" s="66"/>
      <c r="I23" s="66"/>
      <c r="J23" s="66"/>
      <c r="K23" s="67"/>
    </row>
    <row r="24" spans="1:13" ht="13">
      <c r="A24" s="188"/>
      <c r="B24" s="189"/>
      <c r="C24" s="189"/>
      <c r="D24" s="189"/>
      <c r="E24" s="189"/>
      <c r="F24" s="189"/>
      <c r="G24" s="189"/>
      <c r="H24" s="189"/>
      <c r="I24" s="189"/>
      <c r="J24" s="189"/>
      <c r="K24" s="190"/>
    </row>
    <row r="25" spans="1:13" ht="13.5" thickBot="1">
      <c r="A25" s="201" t="s">
        <v>108</v>
      </c>
      <c r="B25" s="241"/>
      <c r="C25" s="241"/>
      <c r="D25" s="241"/>
      <c r="E25" s="241"/>
      <c r="F25" s="241"/>
      <c r="G25" s="241"/>
      <c r="H25" s="241"/>
      <c r="I25" s="241"/>
      <c r="J25" s="241"/>
      <c r="K25" s="202"/>
    </row>
    <row r="26" spans="1:13" ht="13">
      <c r="A26" s="61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3" ht="13">
      <c r="A27" s="61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3" ht="13">
      <c r="A28" s="356"/>
      <c r="B28" s="26"/>
      <c r="C28" s="24"/>
      <c r="D28" s="24"/>
      <c r="E28" s="24"/>
      <c r="F28" s="24"/>
      <c r="G28" s="24"/>
      <c r="H28" s="24"/>
      <c r="I28" s="24"/>
      <c r="J28" s="24"/>
      <c r="K28" s="24"/>
    </row>
    <row r="29" spans="1:13" ht="13">
      <c r="A29" s="357"/>
      <c r="B29" s="26"/>
      <c r="C29" s="24"/>
      <c r="D29" s="24"/>
      <c r="E29" s="24"/>
      <c r="F29" s="24"/>
      <c r="G29" s="24"/>
      <c r="H29" s="24"/>
      <c r="I29" s="24"/>
      <c r="J29" s="24"/>
      <c r="K29" s="24"/>
    </row>
    <row r="30" spans="1:13" ht="13">
      <c r="A30" s="61"/>
      <c r="B30" s="26"/>
      <c r="C30" s="24"/>
      <c r="D30" s="24"/>
      <c r="E30" s="24"/>
      <c r="F30" s="24"/>
      <c r="G30" s="24"/>
      <c r="H30" s="24"/>
      <c r="I30" s="24"/>
      <c r="J30" s="24"/>
      <c r="K30" s="24"/>
    </row>
    <row r="31" spans="1:13" ht="13">
      <c r="A31" s="62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3" ht="13">
      <c r="A32" s="62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ht="13">
      <c r="A33" s="63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 ht="13">
      <c r="A34" s="61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8" spans="1:11">
      <c r="A38" s="1" t="s">
        <v>12</v>
      </c>
    </row>
    <row r="46" spans="1:11">
      <c r="A46" s="31"/>
    </row>
    <row r="58" spans="1:1">
      <c r="A58" s="31"/>
    </row>
  </sheetData>
  <mergeCells count="1">
    <mergeCell ref="A1:K1"/>
  </mergeCells>
  <printOptions horizontalCentered="1"/>
  <pageMargins left="0.75" right="0.75" top="1" bottom="1" header="0.5" footer="0.5"/>
  <pageSetup scale="79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90"/>
  <sheetViews>
    <sheetView topLeftCell="A29" zoomScaleNormal="100" workbookViewId="0">
      <selection activeCell="H55" sqref="H55"/>
    </sheetView>
  </sheetViews>
  <sheetFormatPr defaultColWidth="9.1796875" defaultRowHeight="12.5"/>
  <cols>
    <col min="1" max="1" width="37.7265625" style="1" customWidth="1"/>
    <col min="2" max="10" width="10.7265625" style="1" customWidth="1"/>
    <col min="11" max="11" width="9.81640625" style="1" bestFit="1" customWidth="1"/>
    <col min="12" max="12" width="11.26953125" style="1" bestFit="1" customWidth="1"/>
    <col min="13" max="16384" width="9.1796875" style="1"/>
  </cols>
  <sheetData>
    <row r="1" spans="1:15" ht="18.5" thickBot="1">
      <c r="A1" s="388" t="s">
        <v>94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5" ht="15.75" customHeight="1" thickBot="1">
      <c r="A2" s="306"/>
      <c r="B2" s="390" t="s">
        <v>116</v>
      </c>
      <c r="C2" s="391"/>
      <c r="D2" s="391"/>
      <c r="E2" s="294"/>
      <c r="F2" s="294"/>
      <c r="G2" s="293"/>
      <c r="H2" s="402" t="s">
        <v>73</v>
      </c>
      <c r="I2" s="403"/>
      <c r="J2" s="404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9" t="s">
        <v>33</v>
      </c>
      <c r="F3" s="109" t="s">
        <v>140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 ht="13">
      <c r="A4" s="8"/>
      <c r="B4" s="68"/>
      <c r="C4" s="68"/>
      <c r="D4" s="68"/>
      <c r="E4" s="292"/>
      <c r="F4" s="292"/>
      <c r="G4" s="292"/>
      <c r="H4" s="292"/>
      <c r="I4" s="292"/>
      <c r="J4" s="13"/>
    </row>
    <row r="5" spans="1:15" ht="13">
      <c r="A5" s="11" t="s">
        <v>125</v>
      </c>
      <c r="B5" s="61"/>
      <c r="C5" s="61"/>
      <c r="D5" s="61"/>
      <c r="E5" s="61"/>
      <c r="F5" s="61"/>
      <c r="G5" s="61"/>
      <c r="H5" s="61"/>
      <c r="I5" s="61"/>
      <c r="J5" s="13"/>
      <c r="K5" s="81"/>
    </row>
    <row r="6" spans="1:15" ht="13">
      <c r="A6" s="74" t="s">
        <v>64</v>
      </c>
      <c r="B6" s="297">
        <f>('[2]A-SYS-NET'!B19+'[2]A-SYS-NET'!E19)/('[2]A-SYS-NET'!$D$12+'[2]A-SYS-NET'!$G$12)</f>
        <v>0.41790628631071125</v>
      </c>
      <c r="C6" s="297">
        <f>('[2]A-SYS-NET'!C19+'[2]A-SYS-NET'!F19)/('[2]A-SYS-NET'!$D$12+'[2]A-SYS-NET'!$G$12)</f>
        <v>6.620727072926397E-4</v>
      </c>
      <c r="D6" s="358"/>
      <c r="E6" s="297">
        <f>'[2]SMC-SYS-NET'!D17/'[2]SMC-SYS-NET'!$D$10</f>
        <v>0.9713282550231791</v>
      </c>
      <c r="F6" s="297">
        <f>'[2]SMC-SYS-NET'!B17/'[2]SMC-SYS-NET'!$B$10</f>
        <v>4.5100600941014223E-2</v>
      </c>
      <c r="G6" s="295">
        <f>B6</f>
        <v>0.41790628631071125</v>
      </c>
      <c r="H6" s="295"/>
      <c r="I6" s="295"/>
      <c r="J6" s="287"/>
      <c r="K6" s="81"/>
      <c r="L6" s="290"/>
    </row>
    <row r="7" spans="1:15" ht="13">
      <c r="A7" s="74" t="s">
        <v>37</v>
      </c>
      <c r="B7" s="297">
        <f>('[2]A-SYS-NET'!B20+'[2]A-SYS-NET'!E20)/('[2]A-SYS-NET'!$D$12+'[2]A-SYS-NET'!$G$12)</f>
        <v>0.49760325712240783</v>
      </c>
      <c r="C7" s="297">
        <f>('[2]A-SYS-NET'!C20+'[2]A-SYS-NET'!F20)/('[2]A-SYS-NET'!$D$12+'[2]A-SYS-NET'!$G$12)</f>
        <v>1.3842566775341118E-4</v>
      </c>
      <c r="D7" s="298"/>
      <c r="E7" s="297">
        <f>'[2]SMC-SYS-NET'!D18/'[2]SMC-SYS-NET'!$D$10</f>
        <v>2.867174497682087E-2</v>
      </c>
      <c r="F7" s="297">
        <f>'[2]SMC-SYS-NET'!B18/'[2]SMC-SYS-NET'!$B$10</f>
        <v>0.23129902547601375</v>
      </c>
      <c r="G7" s="295">
        <f t="shared" ref="G7:G9" si="0">B7</f>
        <v>0.49760325712240783</v>
      </c>
      <c r="H7" s="295"/>
      <c r="I7" s="305"/>
      <c r="J7" s="287"/>
      <c r="K7" s="81"/>
    </row>
    <row r="8" spans="1:15" ht="13">
      <c r="A8" s="74" t="s">
        <v>38</v>
      </c>
      <c r="B8" s="297">
        <f>('[2]A-SYS-NET'!B21+'[2]A-SYS-NET'!E21)/('[2]A-SYS-NET'!$D$12+'[2]A-SYS-NET'!$G$12)</f>
        <v>7.7201951108167827E-2</v>
      </c>
      <c r="C8" s="297">
        <f>('[2]A-SYS-NET'!C21+'[2]A-SYS-NET'!F21)/('[2]A-SYS-NET'!$D$12+'[2]A-SYS-NET'!$G$12)</f>
        <v>1.4246632382457218E-5</v>
      </c>
      <c r="D8" s="298"/>
      <c r="E8" s="297"/>
      <c r="F8" s="297">
        <f>'[2]SMC-SYS-NET'!B19/'[2]SMC-SYS-NET'!$B$10</f>
        <v>0.71816413337868279</v>
      </c>
      <c r="G8" s="295">
        <f t="shared" si="0"/>
        <v>7.7201951108167827E-2</v>
      </c>
      <c r="H8" s="295"/>
      <c r="I8" s="305"/>
      <c r="J8" s="287"/>
      <c r="K8" s="81"/>
    </row>
    <row r="9" spans="1:15" ht="13">
      <c r="A9" s="74" t="s">
        <v>39</v>
      </c>
      <c r="B9" s="297">
        <f>('[2]A-SYS-NET'!B22+'[2]A-SYS-NET'!E22)/('[2]A-SYS-NET'!$D$12+'[2]A-SYS-NET'!$G$12)</f>
        <v>6.444582638031552E-3</v>
      </c>
      <c r="C9" s="297">
        <f>('[2]A-SYS-NET'!C22+'[2]A-SYS-NET'!F22)/('[2]A-SYS-NET'!$D$12+'[2]A-SYS-NET'!$G$12)</f>
        <v>2.9177813253039607E-5</v>
      </c>
      <c r="D9" s="298"/>
      <c r="E9" s="297"/>
      <c r="F9" s="297">
        <f>'[2]SMC-SYS-NET'!B20/'[2]SMC-SYS-NET'!$B$10</f>
        <v>5.4362402042893538E-3</v>
      </c>
      <c r="G9" s="295">
        <f t="shared" si="0"/>
        <v>6.444582638031552E-3</v>
      </c>
      <c r="H9" s="295"/>
      <c r="I9" s="305"/>
      <c r="J9" s="287"/>
      <c r="K9" s="81"/>
    </row>
    <row r="10" spans="1:15" ht="13">
      <c r="A10" s="11"/>
      <c r="B10" s="296"/>
      <c r="C10" s="61"/>
      <c r="D10" s="296"/>
      <c r="E10" s="61"/>
      <c r="F10" s="61"/>
      <c r="G10" s="61"/>
      <c r="H10" s="61"/>
      <c r="I10" s="61"/>
      <c r="J10" s="13"/>
      <c r="K10" s="81"/>
    </row>
    <row r="11" spans="1:15" ht="13">
      <c r="A11" s="11" t="s">
        <v>103</v>
      </c>
      <c r="B11" s="299">
        <f>SUM(B12:B15)</f>
        <v>124743.47055374784</v>
      </c>
      <c r="C11" s="299">
        <f>SUM(C12:C15)</f>
        <v>105.36277958546709</v>
      </c>
      <c r="D11" s="299">
        <f>B11+C11</f>
        <v>124848.83333333331</v>
      </c>
      <c r="E11" s="299">
        <f>SUM(E12:E15)</f>
        <v>6954</v>
      </c>
      <c r="F11" s="299">
        <f>SUM(F12:F15)</f>
        <v>2088.0000000000005</v>
      </c>
      <c r="G11" s="299">
        <f>SUM(G12:G15)</f>
        <v>113.9037927984423</v>
      </c>
      <c r="H11" s="77">
        <f>B11+E11+F11+G11</f>
        <v>133899.37434654628</v>
      </c>
      <c r="I11" s="102">
        <f>C11</f>
        <v>105.36277958546709</v>
      </c>
      <c r="J11" s="78">
        <f>H11+C11</f>
        <v>134004.73712613175</v>
      </c>
      <c r="K11" s="300"/>
      <c r="L11" s="349"/>
      <c r="N11" s="76"/>
    </row>
    <row r="12" spans="1:15" ht="13">
      <c r="A12" s="74" t="s">
        <v>64</v>
      </c>
      <c r="B12" s="243">
        <f>('[1]SDGE-CustMonth-Forecast A'!$T$79+'[1]SDGE-CustMonth-Forecast A'!$T$83)/12*B6</f>
        <v>52175.112288558266</v>
      </c>
      <c r="C12" s="243">
        <f>('[1]SDGE-CustMonth-Forecast A'!$T$79+'[1]SDGE-CustMonth-Forecast A'!$T$83)/12*C6</f>
        <v>82.659005087327557</v>
      </c>
      <c r="D12" s="299">
        <f t="shared" ref="D12:D15" si="1">B12+C12</f>
        <v>52257.771293645594</v>
      </c>
      <c r="E12" s="243">
        <f>'[1]SDGE-CustMonth-Forecast A'!$T$87/12*E6</f>
        <v>6754.6166854311878</v>
      </c>
      <c r="F12" s="243">
        <f>('[1]SDGE-CustMonth-Forecast A'!$T$95+'[1]SDGE-CustMonth-Forecast A'!$T$99)/12*F6</f>
        <v>94.170054764837701</v>
      </c>
      <c r="G12" s="243">
        <f>'[1]SDGE-CustMonth-Forecast A'!$T$91/12*G6</f>
        <v>47.641316639421085</v>
      </c>
      <c r="H12" s="77">
        <f>B12+E12+F12+G12</f>
        <v>59071.540345393711</v>
      </c>
      <c r="I12" s="102">
        <f t="shared" ref="I12:I15" si="2">C12</f>
        <v>82.659005087327557</v>
      </c>
      <c r="J12" s="78">
        <f>H12+C12</f>
        <v>59154.199350481038</v>
      </c>
      <c r="K12" s="300"/>
      <c r="L12" s="210"/>
    </row>
    <row r="13" spans="1:15" ht="13">
      <c r="A13" s="74" t="s">
        <v>37</v>
      </c>
      <c r="B13" s="243">
        <f>('[1]SDGE-CustMonth-Forecast A'!$T$79+'[1]SDGE-CustMonth-Forecast A'!$T$83)/12*B7</f>
        <v>62125.186114599303</v>
      </c>
      <c r="C13" s="243">
        <f>('[1]SDGE-CustMonth-Forecast A'!$T$79+'[1]SDGE-CustMonth-Forecast A'!$T$83)/12*C7</f>
        <v>17.282283122401005</v>
      </c>
      <c r="D13" s="299">
        <f t="shared" si="1"/>
        <v>62142.468397721706</v>
      </c>
      <c r="E13" s="243">
        <f>'[1]SDGE-CustMonth-Forecast A'!$T$87/12*E7</f>
        <v>199.38331456881232</v>
      </c>
      <c r="F13" s="243">
        <f>('[1]SDGE-CustMonth-Forecast A'!$T$95+'[1]SDGE-CustMonth-Forecast A'!$T$99)/12*F7</f>
        <v>482.95236519391671</v>
      </c>
      <c r="G13" s="243">
        <f>'[1]SDGE-CustMonth-Forecast A'!$T$91/12*G7</f>
        <v>56.726771311954494</v>
      </c>
      <c r="H13" s="77">
        <f>B13+E13+F13+G13</f>
        <v>62864.248565673981</v>
      </c>
      <c r="I13" s="102">
        <f t="shared" si="2"/>
        <v>17.282283122401005</v>
      </c>
      <c r="J13" s="78">
        <f>H13+C13</f>
        <v>62881.530848796385</v>
      </c>
      <c r="K13" s="300"/>
      <c r="L13" s="210"/>
    </row>
    <row r="14" spans="1:15" ht="13">
      <c r="A14" s="74" t="s">
        <v>38</v>
      </c>
      <c r="B14" s="243">
        <f>('[1]SDGE-CustMonth-Forecast A'!$T$79+'[1]SDGE-CustMonth-Forecast A'!$T$83)/12*B8</f>
        <v>9638.573526911794</v>
      </c>
      <c r="C14" s="243">
        <f>('[1]SDGE-CustMonth-Forecast A'!$T$79+'[1]SDGE-CustMonth-Forecast A'!$T$83)/12*C8</f>
        <v>1.7786754318786708</v>
      </c>
      <c r="D14" s="299">
        <f t="shared" si="1"/>
        <v>9640.3522023436726</v>
      </c>
      <c r="E14" s="243"/>
      <c r="F14" s="243">
        <f>('[1]SDGE-CustMonth-Forecast A'!$T$95+'[1]SDGE-CustMonth-Forecast A'!$T$99)/12*F8</f>
        <v>1499.5267104946897</v>
      </c>
      <c r="G14" s="243">
        <f>'[1]SDGE-CustMonth-Forecast A'!$T$91/12*G8</f>
        <v>8.8010224263311319</v>
      </c>
      <c r="H14" s="77">
        <f>B14+E14+F14+G14</f>
        <v>11146.901259832815</v>
      </c>
      <c r="I14" s="102">
        <f t="shared" si="2"/>
        <v>1.7786754318786708</v>
      </c>
      <c r="J14" s="78">
        <f>H14+C14</f>
        <v>11148.679935264694</v>
      </c>
      <c r="K14" s="300"/>
      <c r="L14" s="210"/>
    </row>
    <row r="15" spans="1:15" ht="13">
      <c r="A15" s="74" t="s">
        <v>39</v>
      </c>
      <c r="B15" s="243">
        <f>('[1]SDGE-CustMonth-Forecast A'!$T$79+'[1]SDGE-CustMonth-Forecast A'!$T$83)/12*B9</f>
        <v>804.59862367849485</v>
      </c>
      <c r="C15" s="243">
        <f>('[1]SDGE-CustMonth-Forecast A'!$T$79+'[1]SDGE-CustMonth-Forecast A'!$T$83)/12*C9</f>
        <v>3.6428159438598664</v>
      </c>
      <c r="D15" s="299">
        <f t="shared" si="1"/>
        <v>808.24143962235473</v>
      </c>
      <c r="E15" s="243"/>
      <c r="F15" s="243">
        <f>('[1]SDGE-CustMonth-Forecast A'!$T$95+'[1]SDGE-CustMonth-Forecast A'!$T$99)/12*F9</f>
        <v>11.35086954655617</v>
      </c>
      <c r="G15" s="243">
        <f>'[1]SDGE-CustMonth-Forecast A'!$T$91/12*G9</f>
        <v>0.73468242073559697</v>
      </c>
      <c r="H15" s="77">
        <f t="shared" ref="H15" si="3">B15+E15+F15+G15</f>
        <v>816.68417564578658</v>
      </c>
      <c r="I15" s="102">
        <f t="shared" si="2"/>
        <v>3.6428159438598664</v>
      </c>
      <c r="J15" s="78">
        <f>H15+C15</f>
        <v>820.32699158964647</v>
      </c>
      <c r="K15" s="300"/>
      <c r="L15" s="210"/>
      <c r="M15" s="210"/>
      <c r="N15" s="210"/>
      <c r="O15" s="210"/>
    </row>
    <row r="16" spans="1:15" ht="13">
      <c r="A16" s="11"/>
      <c r="B16" s="98"/>
      <c r="C16" s="243"/>
      <c r="D16" s="243"/>
      <c r="E16" s="243"/>
      <c r="F16" s="243"/>
      <c r="G16" s="243"/>
      <c r="H16" s="75"/>
      <c r="I16" s="98"/>
      <c r="J16" s="78"/>
      <c r="K16" s="82"/>
      <c r="L16" s="210"/>
    </row>
    <row r="17" spans="1:12" ht="13">
      <c r="A17" s="11" t="s">
        <v>104</v>
      </c>
      <c r="B17" s="299">
        <f>SUM(B18:B21)</f>
        <v>124421.90882290898</v>
      </c>
      <c r="C17" s="299">
        <f>SUM(C18:C21)</f>
        <v>105.09117709101109</v>
      </c>
      <c r="D17" s="299">
        <f>SUM(B17:C17)</f>
        <v>124527</v>
      </c>
      <c r="E17" s="299">
        <f>SUM(E18:E21)</f>
        <v>6954</v>
      </c>
      <c r="F17" s="299">
        <f t="shared" ref="F17:G17" si="4">SUM(F18:F21)</f>
        <v>2088.0000000000005</v>
      </c>
      <c r="G17" s="299">
        <f t="shared" si="4"/>
        <v>113.9037927984423</v>
      </c>
      <c r="H17" s="77">
        <f>B17+E17+F17+G17</f>
        <v>133577.81261570743</v>
      </c>
      <c r="I17" s="102">
        <f>C17</f>
        <v>105.09117709101109</v>
      </c>
      <c r="J17" s="78">
        <f>H17+C17</f>
        <v>133682.90379279843</v>
      </c>
      <c r="K17" s="300"/>
      <c r="L17" s="210"/>
    </row>
    <row r="18" spans="1:12" ht="13">
      <c r="A18" s="74" t="s">
        <v>64</v>
      </c>
      <c r="B18" s="243">
        <f>('[1]SDGE-Cust-Forecast'!$GC$79+'[1]SDGE-Cust-Forecast'!$GC$83)*B6</f>
        <v>52040.616115413941</v>
      </c>
      <c r="C18" s="243">
        <f>('[1]SDGE-Cust-Forecast'!$GC$79+'[1]SDGE-Cust-Forecast'!$GC$83)*C6</f>
        <v>82.445928021030539</v>
      </c>
      <c r="D18" s="299">
        <f t="shared" ref="D18:D21" si="5">SUM(B18:C18)</f>
        <v>52123.062043434969</v>
      </c>
      <c r="E18" s="243">
        <f>'[1]SDGE-Cust-Forecast'!$GC$87*E6</f>
        <v>6754.6166854311878</v>
      </c>
      <c r="F18" s="243">
        <f>('[1]SDGE-Cust-Forecast'!$GC$95+'[1]SDGE-Cust-Forecast'!$GC$99)*F6</f>
        <v>94.170054764837701</v>
      </c>
      <c r="G18" s="243">
        <f>'[1]SDGE-Cust-Forecast'!$GC$91*G6</f>
        <v>47.641316639421085</v>
      </c>
      <c r="H18" s="77">
        <f>B18+E18+F18+G18</f>
        <v>58937.044172249385</v>
      </c>
      <c r="I18" s="102">
        <f t="shared" ref="I18:I21" si="6">C18</f>
        <v>82.445928021030539</v>
      </c>
      <c r="J18" s="78">
        <f>H18+C18</f>
        <v>59019.490100270414</v>
      </c>
      <c r="K18" s="300"/>
      <c r="L18" s="210"/>
    </row>
    <row r="19" spans="1:12" ht="13">
      <c r="A19" s="74" t="s">
        <v>37</v>
      </c>
      <c r="B19" s="243">
        <f>('[1]SDGE-Cust-Forecast'!$GC$79+'[1]SDGE-Cust-Forecast'!$GC$83)*B7</f>
        <v>61965.04079968208</v>
      </c>
      <c r="C19" s="243">
        <f>('[1]SDGE-Cust-Forecast'!$GC$79+'[1]SDGE-Cust-Forecast'!$GC$83)*C7</f>
        <v>17.237733128329033</v>
      </c>
      <c r="D19" s="299">
        <f t="shared" si="5"/>
        <v>61982.278532810407</v>
      </c>
      <c r="E19" s="243">
        <f>'[1]SDGE-Cust-Forecast'!$GC$87*E7</f>
        <v>199.38331456881232</v>
      </c>
      <c r="F19" s="243">
        <f>('[1]SDGE-Cust-Forecast'!$GC$95+'[1]SDGE-Cust-Forecast'!$GC$99)*F7</f>
        <v>482.95236519391671</v>
      </c>
      <c r="G19" s="243">
        <f>'[1]SDGE-Cust-Forecast'!$GC$91*G7</f>
        <v>56.726771311954494</v>
      </c>
      <c r="H19" s="77">
        <f>B19+E19+F19+G19</f>
        <v>62704.103250756758</v>
      </c>
      <c r="I19" s="102">
        <f t="shared" si="6"/>
        <v>17.237733128329033</v>
      </c>
      <c r="J19" s="78">
        <f>H19+C19</f>
        <v>62721.340983885086</v>
      </c>
      <c r="K19" s="300"/>
      <c r="L19" s="210"/>
    </row>
    <row r="20" spans="1:12" ht="13">
      <c r="A20" s="74" t="s">
        <v>38</v>
      </c>
      <c r="B20" s="243">
        <f>('[1]SDGE-Cust-Forecast'!$GC$79+'[1]SDGE-Cust-Forecast'!$GC$83)*B8</f>
        <v>9613.7273656468151</v>
      </c>
      <c r="C20" s="243">
        <f>('[1]SDGE-Cust-Forecast'!$GC$79+'[1]SDGE-Cust-Forecast'!$GC$83)*C8</f>
        <v>1.7740903906902501</v>
      </c>
      <c r="D20" s="299">
        <f t="shared" si="5"/>
        <v>9615.5014560375057</v>
      </c>
      <c r="E20" s="243"/>
      <c r="F20" s="243">
        <f>('[1]SDGE-Cust-Forecast'!$GC$95+'[1]SDGE-Cust-Forecast'!$GC$99)*F8</f>
        <v>1499.5267104946897</v>
      </c>
      <c r="G20" s="243">
        <f>'[1]SDGE-Cust-Forecast'!$GC$91*G8</f>
        <v>8.8010224263311319</v>
      </c>
      <c r="H20" s="77">
        <f>B20+E20+F20+G20</f>
        <v>11122.055098567835</v>
      </c>
      <c r="I20" s="102">
        <f t="shared" si="6"/>
        <v>1.7740903906902501</v>
      </c>
      <c r="J20" s="78">
        <f>H20+C20</f>
        <v>11123.829188958525</v>
      </c>
      <c r="K20" s="300"/>
      <c r="L20" s="210"/>
    </row>
    <row r="21" spans="1:12" ht="13">
      <c r="A21" s="74" t="s">
        <v>39</v>
      </c>
      <c r="B21" s="243">
        <f>('[1]SDGE-Cust-Forecast'!$GC$79+'[1]SDGE-Cust-Forecast'!$GC$83)*B9</f>
        <v>802.52454216615513</v>
      </c>
      <c r="C21" s="243">
        <f>('[1]SDGE-Cust-Forecast'!$GC$79+'[1]SDGE-Cust-Forecast'!$GC$83)*C9</f>
        <v>3.6334255509612632</v>
      </c>
      <c r="D21" s="299">
        <f t="shared" si="5"/>
        <v>806.15796771711643</v>
      </c>
      <c r="E21" s="243"/>
      <c r="F21" s="243">
        <f>('[1]SDGE-Cust-Forecast'!$GC$95+'[1]SDGE-Cust-Forecast'!$GC$99)*F9</f>
        <v>11.35086954655617</v>
      </c>
      <c r="G21" s="243">
        <f>'[1]SDGE-Cust-Forecast'!$GC$91*G9</f>
        <v>0.73468242073559697</v>
      </c>
      <c r="H21" s="77">
        <f t="shared" ref="H21" si="7">B21+E21+F21+G21</f>
        <v>814.61009413344686</v>
      </c>
      <c r="I21" s="102">
        <f t="shared" si="6"/>
        <v>3.6334255509612632</v>
      </c>
      <c r="J21" s="78">
        <f>H21+C21</f>
        <v>818.24351968440817</v>
      </c>
      <c r="K21" s="300"/>
      <c r="L21" s="210"/>
    </row>
    <row r="22" spans="1:12" ht="13">
      <c r="A22" s="11"/>
      <c r="B22" s="98"/>
      <c r="C22" s="244"/>
      <c r="D22" s="244"/>
      <c r="E22" s="244"/>
      <c r="F22" s="244"/>
      <c r="G22" s="244"/>
      <c r="H22" s="69"/>
      <c r="I22" s="98"/>
      <c r="J22" s="15"/>
      <c r="K22" s="82"/>
      <c r="L22" s="210"/>
    </row>
    <row r="23" spans="1:12" ht="13">
      <c r="A23" s="11" t="s">
        <v>105</v>
      </c>
      <c r="B23" s="38">
        <f>SUM(B24:B27)</f>
        <v>530.55187698221425</v>
      </c>
      <c r="C23" s="33">
        <f>SUM(C24:C27)</f>
        <v>0.44812301778190644</v>
      </c>
      <c r="D23" s="77">
        <f>SUM(B23:C23)</f>
        <v>530.99999999999613</v>
      </c>
      <c r="E23" s="38">
        <f>SUM(E24:E27)</f>
        <v>0</v>
      </c>
      <c r="F23" s="38">
        <f>SUM(F24:F27)</f>
        <v>0</v>
      </c>
      <c r="G23" s="38">
        <f>SUM(G24:G27)</f>
        <v>0</v>
      </c>
      <c r="H23" s="77">
        <f>B23+E23+F23+G23</f>
        <v>530.55187698221425</v>
      </c>
      <c r="I23" s="102">
        <f>C23</f>
        <v>0.44812301778190644</v>
      </c>
      <c r="J23" s="78">
        <f>H23+C23</f>
        <v>530.99999999999613</v>
      </c>
      <c r="K23" s="300"/>
      <c r="L23" s="210"/>
    </row>
    <row r="24" spans="1:12" ht="13">
      <c r="A24" s="74" t="s">
        <v>64</v>
      </c>
      <c r="B24" s="243">
        <f>('[1]SDGE-Cust-Forecast'!$GO$79+'[1]SDGE-Cust-Forecast'!$GO$83)*B6-B18</f>
        <v>221.90823803098465</v>
      </c>
      <c r="C24" s="243">
        <f>('[1]SDGE-Cust-Forecast'!$GO$79+'[1]SDGE-Cust-Forecast'!$GO$83)*C6-C18</f>
        <v>0.35156060757239516</v>
      </c>
      <c r="D24" s="299">
        <f t="shared" ref="D24:D27" si="8">SUM(B24:C24)</f>
        <v>222.25979863855704</v>
      </c>
      <c r="E24" s="243">
        <f>'[1]SDGE-Cust-Forecast'!$GO$87*E6-E18</f>
        <v>0</v>
      </c>
      <c r="F24" s="243">
        <f>('[1]SDGE-Cust-Forecast'!$GO$95+'[1]SDGE-Cust-Forecast'!$GO$99)*F6-F18</f>
        <v>0</v>
      </c>
      <c r="G24" s="243">
        <f>'[1]SDGE-Cust-Forecast'!$GO$91*G6-G18</f>
        <v>0</v>
      </c>
      <c r="H24" s="77">
        <f>B24+E24+F24+G24</f>
        <v>221.90823803098465</v>
      </c>
      <c r="I24" s="102">
        <f t="shared" ref="I24:I27" si="9">C24</f>
        <v>0.35156060757239516</v>
      </c>
      <c r="J24" s="78">
        <f>H24+C24</f>
        <v>222.25979863855704</v>
      </c>
      <c r="K24" s="300"/>
      <c r="L24" s="210"/>
    </row>
    <row r="25" spans="1:12" ht="13">
      <c r="A25" s="74" t="s">
        <v>37</v>
      </c>
      <c r="B25" s="243">
        <f>('[1]SDGE-Cust-Forecast'!$GO$79+'[1]SDGE-Cust-Forecast'!$GO$83)*B7-B19</f>
        <v>264.22732953199738</v>
      </c>
      <c r="C25" s="243">
        <f>('[1]SDGE-Cust-Forecast'!$GO$79+'[1]SDGE-Cust-Forecast'!$GO$83)*C7-C19</f>
        <v>7.3504029577062369E-2</v>
      </c>
      <c r="D25" s="299">
        <f t="shared" si="8"/>
        <v>264.30083356157445</v>
      </c>
      <c r="E25" s="243">
        <f>'[1]SDGE-Cust-Forecast'!$GO$87*E7-E19</f>
        <v>0</v>
      </c>
      <c r="F25" s="243">
        <f>('[1]SDGE-Cust-Forecast'!$GO$95+'[1]SDGE-Cust-Forecast'!$GO$99)*F7-F19</f>
        <v>0</v>
      </c>
      <c r="G25" s="243">
        <f>'[1]SDGE-Cust-Forecast'!$GO$91*G7-G19</f>
        <v>0</v>
      </c>
      <c r="H25" s="77">
        <f>B25+E25+F25+G25</f>
        <v>264.22732953199738</v>
      </c>
      <c r="I25" s="102">
        <f t="shared" si="9"/>
        <v>7.3504029577062369E-2</v>
      </c>
      <c r="J25" s="78">
        <f>H25+C25</f>
        <v>264.30083356157445</v>
      </c>
      <c r="K25" s="300"/>
      <c r="L25" s="210"/>
    </row>
    <row r="26" spans="1:12" ht="13">
      <c r="A26" s="74" t="s">
        <v>38</v>
      </c>
      <c r="B26" s="243">
        <f>('[1]SDGE-Cust-Forecast'!$GO$79+'[1]SDGE-Cust-Forecast'!$GO$83)*B8-B20</f>
        <v>40.994236038437521</v>
      </c>
      <c r="C26" s="243">
        <f>('[1]SDGE-Cust-Forecast'!$GO$79+'[1]SDGE-Cust-Forecast'!$GO$83)*C8-C20</f>
        <v>7.5649617950848125E-3</v>
      </c>
      <c r="D26" s="299">
        <f t="shared" si="8"/>
        <v>41.001801000232604</v>
      </c>
      <c r="E26" s="243"/>
      <c r="F26" s="243">
        <f>('[1]SDGE-Cust-Forecast'!$GO$95+'[1]SDGE-Cust-Forecast'!$GO$99)*F8-F20</f>
        <v>0</v>
      </c>
      <c r="G26" s="243">
        <f>'[1]SDGE-Cust-Forecast'!$GO$91*G8-G20</f>
        <v>0</v>
      </c>
      <c r="H26" s="77">
        <f>B26+E26+F26+G26</f>
        <v>40.994236038437521</v>
      </c>
      <c r="I26" s="102">
        <f t="shared" si="9"/>
        <v>7.5649617950848125E-3</v>
      </c>
      <c r="J26" s="78">
        <f>H26+C26</f>
        <v>41.001801000232604</v>
      </c>
      <c r="K26" s="300"/>
      <c r="L26" s="210"/>
    </row>
    <row r="27" spans="1:12" ht="13">
      <c r="A27" s="74" t="s">
        <v>39</v>
      </c>
      <c r="B27" s="243">
        <f>('[1]SDGE-Cust-Forecast'!$GO$79+'[1]SDGE-Cust-Forecast'!$GO$83)*B9-B21</f>
        <v>3.4220733807946999</v>
      </c>
      <c r="C27" s="243">
        <f>('[1]SDGE-Cust-Forecast'!$GO$79+'[1]SDGE-Cust-Forecast'!$GO$83)*C9-C21</f>
        <v>1.5493418837364104E-2</v>
      </c>
      <c r="D27" s="299">
        <f t="shared" si="8"/>
        <v>3.437566799632064</v>
      </c>
      <c r="E27" s="243"/>
      <c r="F27" s="243">
        <f>('[1]SDGE-Cust-Forecast'!$GO$95+'[1]SDGE-Cust-Forecast'!$GO$99)*F9-F21</f>
        <v>0</v>
      </c>
      <c r="G27" s="243">
        <f>'[1]SDGE-Cust-Forecast'!$GO$91*G9-G21</f>
        <v>0</v>
      </c>
      <c r="H27" s="77">
        <f t="shared" ref="H27" si="10">B27+E27+F27+G27</f>
        <v>3.4220733807946999</v>
      </c>
      <c r="I27" s="102">
        <f t="shared" si="9"/>
        <v>1.5493418837364104E-2</v>
      </c>
      <c r="J27" s="78">
        <f>H27+C27</f>
        <v>3.437566799632064</v>
      </c>
      <c r="K27" s="300"/>
      <c r="L27" s="210"/>
    </row>
    <row r="28" spans="1:12" ht="13">
      <c r="A28" s="11"/>
      <c r="B28" s="313"/>
      <c r="C28" s="246"/>
      <c r="D28" s="246"/>
      <c r="E28" s="246"/>
      <c r="F28" s="246"/>
      <c r="G28" s="246"/>
      <c r="H28" s="79"/>
      <c r="I28" s="98"/>
      <c r="J28" s="39"/>
      <c r="K28" s="82"/>
      <c r="L28" s="210"/>
    </row>
    <row r="29" spans="1:12" ht="13">
      <c r="A29" s="11" t="s">
        <v>106</v>
      </c>
      <c r="B29" s="38">
        <f>SUM(B30:B33)</f>
        <v>416.64808418377572</v>
      </c>
      <c r="C29" s="33">
        <f>SUM(C30:C33)</f>
        <v>0.35191581622420487</v>
      </c>
      <c r="D29" s="77">
        <f>SUM(B29:C29)</f>
        <v>416.99999999999994</v>
      </c>
      <c r="E29" s="38">
        <f>SUM(E30:E33)</f>
        <v>0</v>
      </c>
      <c r="F29" s="38">
        <f t="shared" ref="F29:G29" si="11">SUM(F30:F33)</f>
        <v>0</v>
      </c>
      <c r="G29" s="38">
        <f t="shared" si="11"/>
        <v>0</v>
      </c>
      <c r="H29" s="77">
        <f>B29+E29+F29+G29</f>
        <v>416.64808418377572</v>
      </c>
      <c r="I29" s="102">
        <f>C29</f>
        <v>0.35191581622420487</v>
      </c>
      <c r="J29" s="78">
        <f>H29+C29</f>
        <v>416.99999999999994</v>
      </c>
      <c r="K29" s="300"/>
      <c r="L29" s="210"/>
    </row>
    <row r="30" spans="1:12" ht="13">
      <c r="A30" s="74" t="s">
        <v>64</v>
      </c>
      <c r="B30" s="243">
        <f>('[1]SDGE-Cust-Forecast'!$HA$79+'[1]SDGE-Cust-Forecast'!$HA$83)*B6-B24-B18</f>
        <v>174.26692139156512</v>
      </c>
      <c r="C30" s="243">
        <f>('[1]SDGE-Cust-Forecast'!$HA$79+'[1]SDGE-Cust-Forecast'!$HA$83)*C6-C24-C18</f>
        <v>0.27608431894103092</v>
      </c>
      <c r="D30" s="299">
        <f t="shared" ref="D30:D33" si="12">SUM(B30:C30)</f>
        <v>174.54300571050615</v>
      </c>
      <c r="E30" s="243">
        <f>'[1]SDGE-Cust-Forecast'!$HA$87*E6-E24-E18</f>
        <v>0</v>
      </c>
      <c r="F30" s="243">
        <f>('[1]SDGE-Cust-Forecast'!$HA$95+'[1]SDGE-Cust-Forecast'!$HA$99)*F6-F24-F18</f>
        <v>0</v>
      </c>
      <c r="G30" s="243">
        <f>'[1]SDGE-Cust-Forecast'!$HA$91*G6-G24-G18</f>
        <v>0</v>
      </c>
      <c r="H30" s="77">
        <f>B30+E30+F30+G30</f>
        <v>174.26692139156512</v>
      </c>
      <c r="I30" s="102">
        <f t="shared" ref="I30:I33" si="13">C30</f>
        <v>0.27608431894103092</v>
      </c>
      <c r="J30" s="78">
        <f>H30+C30</f>
        <v>174.54300571050615</v>
      </c>
      <c r="K30" s="300"/>
      <c r="L30" s="210"/>
    </row>
    <row r="31" spans="1:12" ht="13">
      <c r="A31" s="74" t="s">
        <v>37</v>
      </c>
      <c r="B31" s="243">
        <f>('[1]SDGE-Cust-Forecast'!$HA$79+'[1]SDGE-Cust-Forecast'!$HA$83)*B7-B25-B19</f>
        <v>207.50055822004651</v>
      </c>
      <c r="C31" s="243">
        <f>('[1]SDGE-Cust-Forecast'!$HA$79+'[1]SDGE-Cust-Forecast'!$HA$83)*C7-C25-C19</f>
        <v>5.7723503453171787E-2</v>
      </c>
      <c r="D31" s="299">
        <f t="shared" si="12"/>
        <v>207.55828172349968</v>
      </c>
      <c r="E31" s="243">
        <f>'[1]SDGE-Cust-Forecast'!$HA$87*E7-E25-E19</f>
        <v>0</v>
      </c>
      <c r="F31" s="243">
        <f>('[1]SDGE-Cust-Forecast'!$HA$95+'[1]SDGE-Cust-Forecast'!$HA$99)*F7-F25-F19</f>
        <v>0</v>
      </c>
      <c r="G31" s="243">
        <f>'[1]SDGE-Cust-Forecast'!$HA$91*G7-G25-G19</f>
        <v>0</v>
      </c>
      <c r="H31" s="77">
        <f>B31+E31+F31+G31</f>
        <v>207.50055822004651</v>
      </c>
      <c r="I31" s="102">
        <f t="shared" si="13"/>
        <v>5.7723503453171787E-2</v>
      </c>
      <c r="J31" s="78">
        <f>H31+C31</f>
        <v>207.55828172349968</v>
      </c>
      <c r="K31" s="300"/>
      <c r="L31" s="210"/>
    </row>
    <row r="32" spans="1:12" ht="13">
      <c r="A32" s="74" t="s">
        <v>38</v>
      </c>
      <c r="B32" s="243">
        <f>('[1]SDGE-Cust-Forecast'!$HA$79+'[1]SDGE-Cust-Forecast'!$HA$83)*B8-B26-B20</f>
        <v>32.193213612104955</v>
      </c>
      <c r="C32" s="243">
        <f>('[1]SDGE-Cust-Forecast'!$HA$79+'[1]SDGE-Cust-Forecast'!$HA$83)*C8-C26-C20</f>
        <v>5.9408457034846318E-3</v>
      </c>
      <c r="D32" s="299">
        <f t="shared" si="12"/>
        <v>32.19915445780844</v>
      </c>
      <c r="E32" s="243"/>
      <c r="F32" s="243">
        <f>('[1]SDGE-Cust-Forecast'!$HA$95+'[1]SDGE-Cust-Forecast'!$HA$99)*F8-F26-F20</f>
        <v>0</v>
      </c>
      <c r="G32" s="243">
        <f>'[1]SDGE-Cust-Forecast'!$HA$91*G8-G26-G20</f>
        <v>0</v>
      </c>
      <c r="H32" s="77">
        <f>B32+E32+F32+G32</f>
        <v>32.193213612104955</v>
      </c>
      <c r="I32" s="102">
        <f t="shared" si="13"/>
        <v>5.9408457034846318E-3</v>
      </c>
      <c r="J32" s="78">
        <f>H32+C32</f>
        <v>32.19915445780844</v>
      </c>
      <c r="K32" s="300"/>
      <c r="L32" s="210"/>
    </row>
    <row r="33" spans="1:13" ht="13">
      <c r="A33" s="74" t="s">
        <v>39</v>
      </c>
      <c r="B33" s="243">
        <f>('[1]SDGE-Cust-Forecast'!$HA$79+'[1]SDGE-Cust-Forecast'!$HA$83)*B9-B27-B21</f>
        <v>2.6873909600591332</v>
      </c>
      <c r="C33" s="243">
        <f>('[1]SDGE-Cust-Forecast'!$HA$79+'[1]SDGE-Cust-Forecast'!$HA$83)*C9-C27-C21</f>
        <v>1.2167148126517535E-2</v>
      </c>
      <c r="D33" s="299">
        <f t="shared" si="12"/>
        <v>2.6995581081856508</v>
      </c>
      <c r="E33" s="243"/>
      <c r="F33" s="243">
        <f>('[1]SDGE-Cust-Forecast'!$HA$95+'[1]SDGE-Cust-Forecast'!$HA$99)*F9-F27-F21</f>
        <v>0</v>
      </c>
      <c r="G33" s="243">
        <f>'[1]SDGE-Cust-Forecast'!$HA$91*G9-G27-G21</f>
        <v>0</v>
      </c>
      <c r="H33" s="77">
        <f t="shared" ref="H33" si="14">B33+E33+F33+G33</f>
        <v>2.6873909600591332</v>
      </c>
      <c r="I33" s="102">
        <f t="shared" si="13"/>
        <v>1.2167148126517535E-2</v>
      </c>
      <c r="J33" s="78">
        <f>H33+C33</f>
        <v>2.6995581081856508</v>
      </c>
      <c r="K33" s="300"/>
      <c r="L33" s="210"/>
    </row>
    <row r="34" spans="1:13" ht="13">
      <c r="A34" s="11"/>
      <c r="B34" s="245"/>
      <c r="C34" s="246"/>
      <c r="D34" s="314"/>
      <c r="E34" s="246"/>
      <c r="F34" s="246"/>
      <c r="G34" s="246"/>
      <c r="H34" s="315"/>
      <c r="I34" s="98"/>
      <c r="J34" s="316"/>
      <c r="K34" s="82"/>
      <c r="L34" s="210"/>
    </row>
    <row r="35" spans="1:13" ht="13">
      <c r="A35" s="11" t="s">
        <v>107</v>
      </c>
      <c r="B35" s="38">
        <f>SUM(B36:B39)</f>
        <v>809.31642251524863</v>
      </c>
      <c r="C35" s="33">
        <f>SUM(C36:C39)</f>
        <v>0.68357748475204927</v>
      </c>
      <c r="D35" s="77">
        <f>SUM(B35:C35)</f>
        <v>810.00000000000068</v>
      </c>
      <c r="E35" s="38">
        <f>SUM(E36:E39)</f>
        <v>0</v>
      </c>
      <c r="F35" s="38">
        <f t="shared" ref="F35:G35" si="15">SUM(F36:F39)</f>
        <v>0</v>
      </c>
      <c r="G35" s="38">
        <f t="shared" si="15"/>
        <v>0</v>
      </c>
      <c r="H35" s="77">
        <f>B35+E35+F35+G35</f>
        <v>809.31642251524863</v>
      </c>
      <c r="I35" s="102">
        <f>C35</f>
        <v>0.68357748475204927</v>
      </c>
      <c r="J35" s="78">
        <f>H35+C35</f>
        <v>810.00000000000068</v>
      </c>
      <c r="K35" s="300"/>
      <c r="L35" s="210"/>
      <c r="M35" s="80"/>
    </row>
    <row r="36" spans="1:13" ht="13">
      <c r="A36" s="74" t="s">
        <v>64</v>
      </c>
      <c r="B36" s="243">
        <f>('[1]SDGE-Cust-Forecast'!$HM$79+'[1]SDGE-Cust-Forecast'!$HM$83)*B6-B30-B24-B18</f>
        <v>338.50409191168001</v>
      </c>
      <c r="C36" s="243">
        <f>('[1]SDGE-Cust-Forecast'!$HM$79+'[1]SDGE-Cust-Forecast'!$HM$83)*C6-C30-C24-C18</f>
        <v>0.53627889290703479</v>
      </c>
      <c r="D36" s="299">
        <f t="shared" ref="D36:D39" si="16">SUM(B36:C36)</f>
        <v>339.04037080458704</v>
      </c>
      <c r="E36" s="243">
        <f>'[1]SDGE-Cust-Forecast'!$HM$87*E6-E30-E24-E18</f>
        <v>0</v>
      </c>
      <c r="F36" s="243">
        <f>('[1]SDGE-Cust-Forecast'!$HM$95+'[1]SDGE-Cust-Forecast'!$HM$99)*F6-F30-F24-F18</f>
        <v>0</v>
      </c>
      <c r="G36" s="243">
        <f>'[1]SDGE-Cust-Forecast'!$HM$91*G6-G30-G24-G18</f>
        <v>0</v>
      </c>
      <c r="H36" s="77">
        <f>B36+E36+F36+G36</f>
        <v>338.50409191168001</v>
      </c>
      <c r="I36" s="102">
        <f t="shared" ref="I36:I39" si="17">C36</f>
        <v>0.53627889290703479</v>
      </c>
      <c r="J36" s="78">
        <f>H36+C36</f>
        <v>339.04037080458704</v>
      </c>
      <c r="K36" s="300"/>
      <c r="L36" s="210"/>
    </row>
    <row r="37" spans="1:13" ht="13">
      <c r="A37" s="74" t="s">
        <v>37</v>
      </c>
      <c r="B37" s="243">
        <f>('[1]SDGE-Cust-Forecast'!$HM$79+'[1]SDGE-Cust-Forecast'!$HM$83)*B7-B31-B25-B19</f>
        <v>403.0586382691472</v>
      </c>
      <c r="C37" s="243">
        <f>('[1]SDGE-Cust-Forecast'!$HM$79+'[1]SDGE-Cust-Forecast'!$HM$83)*C7-C31-C25-C19</f>
        <v>0.11212479088026228</v>
      </c>
      <c r="D37" s="299">
        <f t="shared" si="16"/>
        <v>403.17076306002747</v>
      </c>
      <c r="E37" s="243">
        <f>'[1]SDGE-Cust-Forecast'!$HM$87*E7-E31-E25-E19</f>
        <v>0</v>
      </c>
      <c r="F37" s="243">
        <f>('[1]SDGE-Cust-Forecast'!$HM$95+'[1]SDGE-Cust-Forecast'!$HM$99)*F7-F31-F25-F19</f>
        <v>0</v>
      </c>
      <c r="G37" s="243">
        <f>'[1]SDGE-Cust-Forecast'!$HM$91*G7-G31-G25-G19</f>
        <v>0</v>
      </c>
      <c r="H37" s="77">
        <f>B37+E37+F37+G37</f>
        <v>403.0586382691472</v>
      </c>
      <c r="I37" s="102">
        <f t="shared" si="17"/>
        <v>0.11212479088026228</v>
      </c>
      <c r="J37" s="78">
        <f>H37+C37</f>
        <v>403.17076306002747</v>
      </c>
      <c r="K37" s="300"/>
      <c r="L37" s="210"/>
    </row>
    <row r="38" spans="1:13" ht="13">
      <c r="A38" s="74" t="s">
        <v>38</v>
      </c>
      <c r="B38" s="243">
        <f>('[1]SDGE-Cust-Forecast'!$HM$79+'[1]SDGE-Cust-Forecast'!$HM$83)*B8-B32-B26-B20</f>
        <v>62.533580397615879</v>
      </c>
      <c r="C38" s="243">
        <f>('[1]SDGE-Cust-Forecast'!$HM$79+'[1]SDGE-Cust-Forecast'!$HM$83)*C8-C32-C26-C20</f>
        <v>1.1539772229790302E-2</v>
      </c>
      <c r="D38" s="299">
        <f t="shared" si="16"/>
        <v>62.545120169845667</v>
      </c>
      <c r="E38" s="243"/>
      <c r="F38" s="243">
        <f>('[1]SDGE-Cust-Forecast'!$HM$95+'[1]SDGE-Cust-Forecast'!$HM$99)*F8-F32-F26-F20</f>
        <v>0</v>
      </c>
      <c r="G38" s="243">
        <f>'[1]SDGE-Cust-Forecast'!$HM$91*G8-G32-G26-G20</f>
        <v>0</v>
      </c>
      <c r="H38" s="77">
        <f>B38+E38+F38+G38</f>
        <v>62.533580397615879</v>
      </c>
      <c r="I38" s="102">
        <f t="shared" si="17"/>
        <v>1.1539772229790302E-2</v>
      </c>
      <c r="J38" s="78">
        <f>H38+C38</f>
        <v>62.545120169845667</v>
      </c>
      <c r="K38" s="300"/>
      <c r="L38" s="210"/>
    </row>
    <row r="39" spans="1:13" ht="13">
      <c r="A39" s="74" t="s">
        <v>39</v>
      </c>
      <c r="B39" s="243">
        <f>('[1]SDGE-Cust-Forecast'!$HM$79+'[1]SDGE-Cust-Forecast'!$HM$83)*B9-B33-B27-B21</f>
        <v>5.2201119368055515</v>
      </c>
      <c r="C39" s="243">
        <f>('[1]SDGE-Cust-Forecast'!$HM$79+'[1]SDGE-Cust-Forecast'!$HM$83)*C9-C33-C27-C21</f>
        <v>2.3634028734961898E-2</v>
      </c>
      <c r="D39" s="299">
        <f t="shared" si="16"/>
        <v>5.2437459655405139</v>
      </c>
      <c r="E39" s="243"/>
      <c r="F39" s="243">
        <f>('[1]SDGE-Cust-Forecast'!$HM$95+'[1]SDGE-Cust-Forecast'!$HM$99)*F9-F33-F27-F21</f>
        <v>0</v>
      </c>
      <c r="G39" s="243">
        <f>'[1]SDGE-Cust-Forecast'!$HM$91*G9-G33-G27-G21</f>
        <v>0</v>
      </c>
      <c r="H39" s="77">
        <f t="shared" ref="H39" si="18">B39+E39+F39+G39</f>
        <v>5.2201119368055515</v>
      </c>
      <c r="I39" s="102">
        <f t="shared" si="17"/>
        <v>2.3634028734961898E-2</v>
      </c>
      <c r="J39" s="78">
        <f>H39+C39</f>
        <v>5.2437459655405139</v>
      </c>
      <c r="K39" s="300"/>
      <c r="L39" s="210"/>
    </row>
    <row r="40" spans="1:13" ht="13">
      <c r="A40" s="11"/>
      <c r="B40" s="14"/>
      <c r="C40" s="69"/>
      <c r="D40" s="69"/>
      <c r="E40" s="69"/>
      <c r="F40" s="69"/>
      <c r="G40" s="69"/>
      <c r="H40" s="69"/>
      <c r="I40" s="98"/>
      <c r="J40" s="15"/>
      <c r="L40" s="210"/>
    </row>
    <row r="41" spans="1:13" ht="13">
      <c r="A41" s="11" t="s">
        <v>115</v>
      </c>
      <c r="B41" s="38">
        <f>SUM(B42:B45)</f>
        <v>586</v>
      </c>
      <c r="C41" s="38">
        <f t="shared" ref="C41:J41" si="19">SUM(C42:C45)</f>
        <v>0</v>
      </c>
      <c r="D41" s="38">
        <f>B41+C41</f>
        <v>586</v>
      </c>
      <c r="E41" s="38">
        <f t="shared" si="19"/>
        <v>0</v>
      </c>
      <c r="F41" s="38">
        <f t="shared" si="19"/>
        <v>0</v>
      </c>
      <c r="G41" s="38">
        <f t="shared" si="19"/>
        <v>0</v>
      </c>
      <c r="H41" s="38">
        <f t="shared" si="19"/>
        <v>586</v>
      </c>
      <c r="I41" s="38">
        <f t="shared" si="19"/>
        <v>0</v>
      </c>
      <c r="J41" s="39">
        <f t="shared" si="19"/>
        <v>586</v>
      </c>
      <c r="K41" s="300"/>
      <c r="L41" s="210"/>
    </row>
    <row r="42" spans="1:13" ht="13">
      <c r="A42" s="74" t="s">
        <v>64</v>
      </c>
      <c r="B42" s="83">
        <f t="shared" ref="B42:G45" si="20">ROUND(AVERAGE(B24,B30,B36),0)</f>
        <v>245</v>
      </c>
      <c r="C42" s="83">
        <f t="shared" ref="C42" si="21">ROUND(AVERAGE(C24,C30,C36),0)</f>
        <v>0</v>
      </c>
      <c r="D42" s="38">
        <f t="shared" ref="D42:D45" si="22">B42+C42</f>
        <v>245</v>
      </c>
      <c r="E42" s="83">
        <f t="shared" si="20"/>
        <v>0</v>
      </c>
      <c r="F42" s="83">
        <f t="shared" si="20"/>
        <v>0</v>
      </c>
      <c r="G42" s="83">
        <f t="shared" si="20"/>
        <v>0</v>
      </c>
      <c r="H42" s="77">
        <f>B42+E42+F42+G42</f>
        <v>245</v>
      </c>
      <c r="I42" s="102">
        <f t="shared" ref="I42:I45" si="23">C42</f>
        <v>0</v>
      </c>
      <c r="J42" s="78">
        <f>H42+C42</f>
        <v>245</v>
      </c>
      <c r="K42" s="300"/>
      <c r="L42" s="210"/>
    </row>
    <row r="43" spans="1:13" ht="13">
      <c r="A43" s="74" t="s">
        <v>37</v>
      </c>
      <c r="B43" s="83">
        <f t="shared" si="20"/>
        <v>292</v>
      </c>
      <c r="C43" s="83">
        <f t="shared" ref="C43" si="24">ROUND(AVERAGE(C25,C31,C37),0)</f>
        <v>0</v>
      </c>
      <c r="D43" s="38">
        <f t="shared" si="22"/>
        <v>292</v>
      </c>
      <c r="E43" s="83">
        <f t="shared" si="20"/>
        <v>0</v>
      </c>
      <c r="F43" s="83">
        <f t="shared" si="20"/>
        <v>0</v>
      </c>
      <c r="G43" s="83">
        <f t="shared" si="20"/>
        <v>0</v>
      </c>
      <c r="H43" s="77">
        <f>B43+E43+F43+G43</f>
        <v>292</v>
      </c>
      <c r="I43" s="102">
        <f t="shared" si="23"/>
        <v>0</v>
      </c>
      <c r="J43" s="78">
        <f>H43+C43</f>
        <v>292</v>
      </c>
      <c r="K43" s="300"/>
      <c r="L43" s="210"/>
    </row>
    <row r="44" spans="1:13" ht="13">
      <c r="A44" s="74" t="s">
        <v>38</v>
      </c>
      <c r="B44" s="83">
        <f t="shared" si="20"/>
        <v>45</v>
      </c>
      <c r="C44" s="83">
        <f t="shared" ref="C44" si="25">ROUND(AVERAGE(C26,C32,C38),0)</f>
        <v>0</v>
      </c>
      <c r="D44" s="38">
        <f t="shared" si="22"/>
        <v>45</v>
      </c>
      <c r="E44" s="83"/>
      <c r="F44" s="83">
        <f t="shared" si="20"/>
        <v>0</v>
      </c>
      <c r="G44" s="83">
        <f t="shared" si="20"/>
        <v>0</v>
      </c>
      <c r="H44" s="77">
        <f>B44+E44+F44+G44</f>
        <v>45</v>
      </c>
      <c r="I44" s="102">
        <f t="shared" si="23"/>
        <v>0</v>
      </c>
      <c r="J44" s="78">
        <f>H44+C44</f>
        <v>45</v>
      </c>
      <c r="K44" s="300"/>
      <c r="L44" s="210"/>
    </row>
    <row r="45" spans="1:13" ht="13">
      <c r="A45" s="74" t="s">
        <v>39</v>
      </c>
      <c r="B45" s="83">
        <f t="shared" si="20"/>
        <v>4</v>
      </c>
      <c r="C45" s="83">
        <f t="shared" ref="C45" si="26">ROUND(AVERAGE(C27,C33,C39),0)</f>
        <v>0</v>
      </c>
      <c r="D45" s="38">
        <f t="shared" si="22"/>
        <v>4</v>
      </c>
      <c r="E45" s="83"/>
      <c r="F45" s="83">
        <f t="shared" si="20"/>
        <v>0</v>
      </c>
      <c r="G45" s="83">
        <f t="shared" si="20"/>
        <v>0</v>
      </c>
      <c r="H45" s="77">
        <f t="shared" ref="H45" si="27">B45+E45+F45+G45</f>
        <v>4</v>
      </c>
      <c r="I45" s="102">
        <f t="shared" si="23"/>
        <v>0</v>
      </c>
      <c r="J45" s="78">
        <f>H45+C45</f>
        <v>4</v>
      </c>
      <c r="K45" s="300"/>
      <c r="L45" s="210"/>
    </row>
    <row r="46" spans="1:13" ht="13">
      <c r="A46" s="11"/>
      <c r="B46" s="301"/>
      <c r="C46" s="301"/>
      <c r="D46" s="301"/>
      <c r="E46" s="301"/>
      <c r="F46" s="301"/>
      <c r="G46" s="301"/>
      <c r="H46" s="301"/>
      <c r="I46" s="301"/>
      <c r="J46" s="317"/>
      <c r="L46" s="210"/>
    </row>
    <row r="47" spans="1:13" ht="13">
      <c r="A47" s="11" t="s">
        <v>75</v>
      </c>
      <c r="B47" s="38">
        <f>SUM(B48:B51)</f>
        <v>586</v>
      </c>
      <c r="C47" s="38">
        <f t="shared" ref="C47" si="28">SUM(C48:C51)</f>
        <v>0</v>
      </c>
      <c r="D47" s="38">
        <f>B47+C47</f>
        <v>586</v>
      </c>
      <c r="E47" s="38">
        <f t="shared" ref="E47" si="29">SUM(E48:E51)</f>
        <v>0</v>
      </c>
      <c r="F47" s="38">
        <f t="shared" ref="F47" si="30">SUM(F48:F51)</f>
        <v>0</v>
      </c>
      <c r="G47" s="38">
        <f t="shared" ref="G47" si="31">SUM(G48:G51)</f>
        <v>0</v>
      </c>
      <c r="H47" s="38">
        <f t="shared" ref="H47" si="32">SUM(H48:H51)</f>
        <v>586</v>
      </c>
      <c r="I47" s="38">
        <f t="shared" ref="I47" si="33">SUM(I48:I51)</f>
        <v>0</v>
      </c>
      <c r="J47" s="39">
        <f t="shared" ref="J47" si="34">SUM(J48:J51)</f>
        <v>586</v>
      </c>
      <c r="K47" s="300"/>
      <c r="L47" s="210"/>
    </row>
    <row r="48" spans="1:13" ht="13">
      <c r="A48" s="74" t="s">
        <v>64</v>
      </c>
      <c r="B48" s="83">
        <f>IF(B42&lt;0,0,B42)</f>
        <v>245</v>
      </c>
      <c r="C48" s="83">
        <f t="shared" ref="C48:I48" si="35">IF(C42&lt;0,0,C42)</f>
        <v>0</v>
      </c>
      <c r="D48" s="83">
        <f t="shared" si="35"/>
        <v>245</v>
      </c>
      <c r="E48" s="83">
        <f t="shared" si="35"/>
        <v>0</v>
      </c>
      <c r="F48" s="83">
        <f t="shared" si="35"/>
        <v>0</v>
      </c>
      <c r="G48" s="83">
        <f t="shared" si="35"/>
        <v>0</v>
      </c>
      <c r="H48" s="83">
        <f t="shared" si="35"/>
        <v>245</v>
      </c>
      <c r="I48" s="83">
        <f t="shared" si="35"/>
        <v>0</v>
      </c>
      <c r="J48" s="78">
        <f>H48+C48</f>
        <v>245</v>
      </c>
      <c r="K48" s="300"/>
      <c r="L48" s="210"/>
    </row>
    <row r="49" spans="1:12" ht="13">
      <c r="A49" s="74" t="s">
        <v>37</v>
      </c>
      <c r="B49" s="83">
        <f t="shared" ref="B49:I51" si="36">IF(B43&lt;0,0,B43)</f>
        <v>292</v>
      </c>
      <c r="C49" s="83">
        <f t="shared" si="36"/>
        <v>0</v>
      </c>
      <c r="D49" s="83">
        <f t="shared" si="36"/>
        <v>292</v>
      </c>
      <c r="E49" s="83">
        <f t="shared" si="36"/>
        <v>0</v>
      </c>
      <c r="F49" s="83">
        <f t="shared" si="36"/>
        <v>0</v>
      </c>
      <c r="G49" s="83">
        <f t="shared" si="36"/>
        <v>0</v>
      </c>
      <c r="H49" s="83">
        <f t="shared" si="36"/>
        <v>292</v>
      </c>
      <c r="I49" s="83">
        <f t="shared" si="36"/>
        <v>0</v>
      </c>
      <c r="J49" s="78">
        <f>H49+C49</f>
        <v>292</v>
      </c>
      <c r="K49" s="300"/>
      <c r="L49" s="210"/>
    </row>
    <row r="50" spans="1:12" ht="13">
      <c r="A50" s="74" t="s">
        <v>38</v>
      </c>
      <c r="B50" s="83">
        <f t="shared" si="36"/>
        <v>45</v>
      </c>
      <c r="C50" s="83">
        <f t="shared" si="36"/>
        <v>0</v>
      </c>
      <c r="D50" s="83">
        <f t="shared" si="36"/>
        <v>45</v>
      </c>
      <c r="E50" s="83">
        <f t="shared" si="36"/>
        <v>0</v>
      </c>
      <c r="F50" s="83">
        <f t="shared" si="36"/>
        <v>0</v>
      </c>
      <c r="G50" s="83">
        <f t="shared" si="36"/>
        <v>0</v>
      </c>
      <c r="H50" s="83">
        <f t="shared" si="36"/>
        <v>45</v>
      </c>
      <c r="I50" s="83">
        <f t="shared" si="36"/>
        <v>0</v>
      </c>
      <c r="J50" s="78">
        <f>H50+C50</f>
        <v>45</v>
      </c>
      <c r="K50" s="300"/>
      <c r="L50" s="210"/>
    </row>
    <row r="51" spans="1:12" ht="13">
      <c r="A51" s="74" t="s">
        <v>39</v>
      </c>
      <c r="B51" s="83">
        <f t="shared" si="36"/>
        <v>4</v>
      </c>
      <c r="C51" s="83">
        <f t="shared" si="36"/>
        <v>0</v>
      </c>
      <c r="D51" s="83">
        <f t="shared" si="36"/>
        <v>4</v>
      </c>
      <c r="E51" s="83">
        <f t="shared" si="36"/>
        <v>0</v>
      </c>
      <c r="F51" s="83">
        <f t="shared" si="36"/>
        <v>0</v>
      </c>
      <c r="G51" s="83">
        <f t="shared" si="36"/>
        <v>0</v>
      </c>
      <c r="H51" s="83">
        <f t="shared" si="36"/>
        <v>4</v>
      </c>
      <c r="I51" s="83">
        <f t="shared" si="36"/>
        <v>0</v>
      </c>
      <c r="J51" s="78">
        <f>H51+C51</f>
        <v>4</v>
      </c>
      <c r="K51" s="300"/>
      <c r="L51" s="210"/>
    </row>
    <row r="52" spans="1:12" ht="13">
      <c r="A52" s="20"/>
      <c r="B52" s="312"/>
      <c r="C52" s="62"/>
      <c r="D52" s="62"/>
      <c r="E52" s="62"/>
      <c r="F52" s="62"/>
      <c r="G52" s="62"/>
      <c r="H52" s="62"/>
      <c r="I52" s="98"/>
      <c r="J52" s="23"/>
      <c r="L52" s="210"/>
    </row>
    <row r="53" spans="1:12" ht="13">
      <c r="A53" s="11" t="s">
        <v>10</v>
      </c>
      <c r="B53" s="70"/>
      <c r="C53" s="62"/>
      <c r="D53" s="62"/>
      <c r="E53" s="61"/>
      <c r="F53" s="62"/>
      <c r="G53" s="62"/>
      <c r="H53" s="62"/>
      <c r="I53" s="98"/>
      <c r="J53" s="23"/>
      <c r="L53" s="210"/>
    </row>
    <row r="54" spans="1:12" ht="13">
      <c r="A54" s="21" t="s">
        <v>142</v>
      </c>
      <c r="B54" s="38">
        <f>SUM(B55:B58)</f>
        <v>1866.3286323436346</v>
      </c>
      <c r="C54" s="38">
        <f t="shared" ref="C54" si="37">SUM(C55:C58)</f>
        <v>1.5763676563651663</v>
      </c>
      <c r="D54" s="38">
        <f>B54+C54</f>
        <v>1867.9049999999997</v>
      </c>
      <c r="E54" s="38">
        <f t="shared" ref="E54" si="38">SUM(E55:E58)</f>
        <v>104.31</v>
      </c>
      <c r="F54" s="38">
        <f t="shared" ref="F54" si="39">SUM(F55:F58)</f>
        <v>31.320000000000004</v>
      </c>
      <c r="G54" s="38">
        <f t="shared" ref="G54" si="40">SUM(G55:G58)</f>
        <v>1.7085568919766345</v>
      </c>
      <c r="H54" s="38">
        <f t="shared" ref="H54" si="41">SUM(H55:H58)</f>
        <v>2003.6671892356114</v>
      </c>
      <c r="I54" s="38">
        <f t="shared" ref="I54" si="42">SUM(I55:I58)</f>
        <v>1.5763676563651663</v>
      </c>
      <c r="J54" s="39">
        <f t="shared" ref="J54" si="43">SUM(J55:J58)</f>
        <v>2005.2435568919764</v>
      </c>
      <c r="K54" s="300"/>
      <c r="L54" s="349"/>
    </row>
    <row r="55" spans="1:12" ht="13">
      <c r="A55" s="74" t="s">
        <v>64</v>
      </c>
      <c r="B55" s="83">
        <f>B18*0.015</f>
        <v>780.60924173120907</v>
      </c>
      <c r="C55" s="83">
        <f t="shared" ref="C55:G55" si="44">C18*0.015</f>
        <v>1.2366889203154581</v>
      </c>
      <c r="D55" s="83">
        <f>B55+C55</f>
        <v>781.84593065152455</v>
      </c>
      <c r="E55" s="83">
        <f t="shared" si="44"/>
        <v>101.31925028146782</v>
      </c>
      <c r="F55" s="83">
        <f t="shared" si="44"/>
        <v>1.4125508214725655</v>
      </c>
      <c r="G55" s="83">
        <f t="shared" si="44"/>
        <v>0.71461974959131624</v>
      </c>
      <c r="H55" s="77">
        <f>B55+E55+F55+G55</f>
        <v>884.05566258374074</v>
      </c>
      <c r="I55" s="77">
        <f t="shared" ref="I55:I58" si="45">C55</f>
        <v>1.2366889203154581</v>
      </c>
      <c r="J55" s="78">
        <f>H55+C55</f>
        <v>885.29235150405623</v>
      </c>
      <c r="K55" s="300"/>
      <c r="L55" s="349"/>
    </row>
    <row r="56" spans="1:12" ht="13">
      <c r="A56" s="74" t="s">
        <v>37</v>
      </c>
      <c r="B56" s="83">
        <f t="shared" ref="B56:B58" si="46">B19*0.015</f>
        <v>929.47561199523113</v>
      </c>
      <c r="C56" s="83">
        <f t="shared" ref="C56:G56" si="47">C19*0.015</f>
        <v>0.25856599692493548</v>
      </c>
      <c r="D56" s="83">
        <f t="shared" ref="D56:D58" si="48">B56+C56</f>
        <v>929.73417799215611</v>
      </c>
      <c r="E56" s="83">
        <f t="shared" si="47"/>
        <v>2.990749718532185</v>
      </c>
      <c r="F56" s="83">
        <f t="shared" si="47"/>
        <v>7.2442854779087504</v>
      </c>
      <c r="G56" s="83">
        <f t="shared" si="47"/>
        <v>0.8509015696793174</v>
      </c>
      <c r="H56" s="77">
        <f>B56+E56+F56+G56</f>
        <v>940.56154876135133</v>
      </c>
      <c r="I56" s="77">
        <f t="shared" si="45"/>
        <v>0.25856599692493548</v>
      </c>
      <c r="J56" s="78">
        <f>H56+C56</f>
        <v>940.8201147582763</v>
      </c>
      <c r="K56" s="300"/>
      <c r="L56" s="349"/>
    </row>
    <row r="57" spans="1:12" ht="13">
      <c r="A57" s="74" t="s">
        <v>38</v>
      </c>
      <c r="B57" s="83">
        <f t="shared" si="46"/>
        <v>144.20591048470223</v>
      </c>
      <c r="C57" s="83">
        <f t="shared" ref="C57:G57" si="49">C20*0.015</f>
        <v>2.661135586035375E-2</v>
      </c>
      <c r="D57" s="83">
        <f t="shared" si="48"/>
        <v>144.23252184056258</v>
      </c>
      <c r="E57" s="83">
        <f t="shared" si="49"/>
        <v>0</v>
      </c>
      <c r="F57" s="83">
        <f t="shared" si="49"/>
        <v>22.492900657420346</v>
      </c>
      <c r="G57" s="83">
        <f t="shared" si="49"/>
        <v>0.13201533639496699</v>
      </c>
      <c r="H57" s="77">
        <f>B57+E57+F57+G57</f>
        <v>166.83082647851754</v>
      </c>
      <c r="I57" s="77">
        <f t="shared" si="45"/>
        <v>2.661135586035375E-2</v>
      </c>
      <c r="J57" s="78">
        <f>H57+C57</f>
        <v>166.85743783437789</v>
      </c>
      <c r="K57" s="300"/>
      <c r="L57" s="349"/>
    </row>
    <row r="58" spans="1:12" ht="13">
      <c r="A58" s="74" t="s">
        <v>39</v>
      </c>
      <c r="B58" s="83">
        <f t="shared" si="46"/>
        <v>12.037868132492326</v>
      </c>
      <c r="C58" s="83">
        <f t="shared" ref="C58:G58" si="50">C21*0.015</f>
        <v>5.4501383264418946E-2</v>
      </c>
      <c r="D58" s="83">
        <f t="shared" si="48"/>
        <v>12.092369515756745</v>
      </c>
      <c r="E58" s="83">
        <f t="shared" si="50"/>
        <v>0</v>
      </c>
      <c r="F58" s="83">
        <f t="shared" si="50"/>
        <v>0.17026304319834254</v>
      </c>
      <c r="G58" s="83">
        <f t="shared" si="50"/>
        <v>1.1020236311033955E-2</v>
      </c>
      <c r="H58" s="77">
        <f>B58+E58+F58+G58</f>
        <v>12.219151412001702</v>
      </c>
      <c r="I58" s="77">
        <f t="shared" si="45"/>
        <v>5.4501383264418946E-2</v>
      </c>
      <c r="J58" s="78">
        <f>H58+C58</f>
        <v>12.273652795266122</v>
      </c>
      <c r="K58" s="300"/>
      <c r="L58" s="349"/>
    </row>
    <row r="59" spans="1:12" ht="13">
      <c r="A59" s="21"/>
      <c r="B59" s="83"/>
      <c r="C59" s="62"/>
      <c r="D59" s="62"/>
      <c r="E59" s="62"/>
      <c r="F59" s="62"/>
      <c r="G59" s="62"/>
      <c r="H59" s="62"/>
      <c r="I59" s="98"/>
      <c r="J59" s="23"/>
      <c r="L59" s="349"/>
    </row>
    <row r="60" spans="1:12" ht="13">
      <c r="A60" s="11" t="s">
        <v>11</v>
      </c>
      <c r="B60" s="38">
        <f>SUM(B61:B64)</f>
        <v>2452.3286323436346</v>
      </c>
      <c r="C60" s="38">
        <f t="shared" ref="C60" si="51">SUM(C61:C64)</f>
        <v>1.5763676563651663</v>
      </c>
      <c r="D60" s="38">
        <f>B60+C60</f>
        <v>2453.9049999999997</v>
      </c>
      <c r="E60" s="38">
        <f t="shared" ref="E60" si="52">SUM(E61:E64)</f>
        <v>104.31</v>
      </c>
      <c r="F60" s="38">
        <f t="shared" ref="F60" si="53">SUM(F61:F64)</f>
        <v>31.320000000000004</v>
      </c>
      <c r="G60" s="38">
        <f t="shared" ref="G60" si="54">SUM(G61:G64)</f>
        <v>1.7085568919766345</v>
      </c>
      <c r="H60" s="38">
        <f t="shared" ref="H60" si="55">SUM(H61:H64)</f>
        <v>2589.6671892356117</v>
      </c>
      <c r="I60" s="38">
        <f t="shared" ref="I60" si="56">SUM(I61:I64)</f>
        <v>1.5763676563651663</v>
      </c>
      <c r="J60" s="39">
        <f t="shared" ref="J60" si="57">SUM(J61:J64)</f>
        <v>2591.2435568919768</v>
      </c>
      <c r="K60" s="300"/>
      <c r="L60" s="349"/>
    </row>
    <row r="61" spans="1:12" ht="13">
      <c r="A61" s="74" t="s">
        <v>64</v>
      </c>
      <c r="B61" s="84">
        <f t="shared" ref="B61:G64" si="58">B48+B55</f>
        <v>1025.6092417312091</v>
      </c>
      <c r="C61" s="84">
        <f>C48+C55</f>
        <v>1.2366889203154581</v>
      </c>
      <c r="D61" s="38">
        <f t="shared" ref="D61:D64" si="59">B61+C61</f>
        <v>1026.8459306515244</v>
      </c>
      <c r="E61" s="84">
        <f t="shared" si="58"/>
        <v>101.31925028146782</v>
      </c>
      <c r="F61" s="84">
        <f t="shared" si="58"/>
        <v>1.4125508214725655</v>
      </c>
      <c r="G61" s="84">
        <f t="shared" si="58"/>
        <v>0.71461974959131624</v>
      </c>
      <c r="H61" s="77">
        <f>B61+E61+F61+G61</f>
        <v>1129.055662583741</v>
      </c>
      <c r="I61" s="102">
        <f t="shared" ref="I61:I64" si="60">C61</f>
        <v>1.2366889203154581</v>
      </c>
      <c r="J61" s="78">
        <f>H61+C61</f>
        <v>1130.2923515040563</v>
      </c>
      <c r="K61" s="300"/>
      <c r="L61" s="349"/>
    </row>
    <row r="62" spans="1:12" ht="13">
      <c r="A62" s="74" t="s">
        <v>37</v>
      </c>
      <c r="B62" s="84">
        <f t="shared" si="58"/>
        <v>1221.4756119952312</v>
      </c>
      <c r="C62" s="84">
        <f>C49+C56</f>
        <v>0.25856599692493548</v>
      </c>
      <c r="D62" s="38">
        <f t="shared" si="59"/>
        <v>1221.7341779921562</v>
      </c>
      <c r="E62" s="84">
        <f t="shared" si="58"/>
        <v>2.990749718532185</v>
      </c>
      <c r="F62" s="84">
        <f t="shared" si="58"/>
        <v>7.2442854779087504</v>
      </c>
      <c r="G62" s="84">
        <f t="shared" si="58"/>
        <v>0.8509015696793174</v>
      </c>
      <c r="H62" s="77">
        <f>B62+E62+F62+G62</f>
        <v>1232.5615487613516</v>
      </c>
      <c r="I62" s="102">
        <f t="shared" si="60"/>
        <v>0.25856599692493548</v>
      </c>
      <c r="J62" s="78">
        <f>H62+C62</f>
        <v>1232.8201147582765</v>
      </c>
      <c r="K62" s="300"/>
      <c r="L62" s="349"/>
    </row>
    <row r="63" spans="1:12" ht="13">
      <c r="A63" s="74" t="s">
        <v>38</v>
      </c>
      <c r="B63" s="84">
        <f t="shared" si="58"/>
        <v>189.20591048470223</v>
      </c>
      <c r="C63" s="84">
        <f>C50+C57</f>
        <v>2.661135586035375E-2</v>
      </c>
      <c r="D63" s="38">
        <f t="shared" si="59"/>
        <v>189.23252184056258</v>
      </c>
      <c r="E63" s="84"/>
      <c r="F63" s="84">
        <f t="shared" si="58"/>
        <v>22.492900657420346</v>
      </c>
      <c r="G63" s="84">
        <f t="shared" si="58"/>
        <v>0.13201533639496699</v>
      </c>
      <c r="H63" s="77">
        <f>B63+E63+F63+G63</f>
        <v>211.83082647851754</v>
      </c>
      <c r="I63" s="102">
        <f t="shared" si="60"/>
        <v>2.661135586035375E-2</v>
      </c>
      <c r="J63" s="78">
        <f>H63+C63</f>
        <v>211.85743783437789</v>
      </c>
      <c r="K63" s="300"/>
      <c r="L63" s="349"/>
    </row>
    <row r="64" spans="1:12" ht="13">
      <c r="A64" s="74" t="s">
        <v>39</v>
      </c>
      <c r="B64" s="84">
        <f t="shared" si="58"/>
        <v>16.037868132492328</v>
      </c>
      <c r="C64" s="84">
        <f>C51+C58</f>
        <v>5.4501383264418946E-2</v>
      </c>
      <c r="D64" s="38">
        <f t="shared" si="59"/>
        <v>16.092369515756747</v>
      </c>
      <c r="E64" s="84"/>
      <c r="F64" s="84">
        <f t="shared" si="58"/>
        <v>0.17026304319834254</v>
      </c>
      <c r="G64" s="84">
        <f t="shared" si="58"/>
        <v>1.1020236311033955E-2</v>
      </c>
      <c r="H64" s="77">
        <f t="shared" ref="H64" si="61">B64+E64+F64+G64</f>
        <v>16.219151412001704</v>
      </c>
      <c r="I64" s="102">
        <f t="shared" si="60"/>
        <v>5.4501383264418946E-2</v>
      </c>
      <c r="J64" s="78">
        <f>H64+C64</f>
        <v>16.273652795266123</v>
      </c>
      <c r="K64" s="300"/>
      <c r="L64" s="349"/>
    </row>
    <row r="65" spans="1:13" ht="13.5" thickBot="1">
      <c r="A65" s="28"/>
      <c r="B65" s="85"/>
      <c r="C65" s="85"/>
      <c r="D65" s="85"/>
      <c r="E65" s="71"/>
      <c r="F65" s="71"/>
      <c r="G65" s="71"/>
      <c r="H65" s="71"/>
      <c r="I65" s="71"/>
      <c r="J65" s="60"/>
    </row>
    <row r="66" spans="1:13" ht="13">
      <c r="A66" s="188"/>
      <c r="B66" s="189"/>
      <c r="C66" s="189"/>
      <c r="D66" s="189"/>
      <c r="E66" s="189"/>
      <c r="F66" s="189"/>
      <c r="G66" s="189"/>
      <c r="H66" s="189"/>
      <c r="I66" s="189"/>
      <c r="J66" s="190"/>
      <c r="K66" s="22"/>
      <c r="L66" s="22"/>
      <c r="M66" s="22"/>
    </row>
    <row r="67" spans="1:13" ht="13">
      <c r="A67" s="191" t="s">
        <v>74</v>
      </c>
      <c r="B67" s="22"/>
      <c r="C67" s="22"/>
      <c r="D67" s="22"/>
      <c r="E67" s="22"/>
      <c r="F67" s="22"/>
      <c r="G67" s="22"/>
      <c r="H67" s="22"/>
      <c r="I67" s="22"/>
      <c r="J67" s="23"/>
      <c r="K67" s="22"/>
      <c r="L67" s="22"/>
      <c r="M67" s="22"/>
    </row>
    <row r="68" spans="1:13" ht="13.5" thickBot="1">
      <c r="A68" s="201" t="s">
        <v>111</v>
      </c>
      <c r="B68" s="22"/>
      <c r="C68" s="22"/>
      <c r="D68" s="22"/>
      <c r="E68" s="22"/>
      <c r="F68" s="22"/>
      <c r="G68" s="22"/>
      <c r="H68" s="22"/>
      <c r="I68" s="22"/>
      <c r="J68" s="23"/>
      <c r="K68" s="22"/>
      <c r="L68" s="22"/>
      <c r="M68" s="22"/>
    </row>
    <row r="69" spans="1:13" ht="13.5" thickBot="1">
      <c r="A69" s="201" t="s">
        <v>110</v>
      </c>
      <c r="B69" s="22"/>
      <c r="C69" s="22"/>
      <c r="D69" s="22"/>
      <c r="E69" s="22"/>
      <c r="F69" s="22"/>
      <c r="G69" s="22"/>
      <c r="H69" s="22"/>
      <c r="I69" s="22"/>
      <c r="J69" s="23"/>
      <c r="K69" s="22"/>
      <c r="L69" s="22"/>
      <c r="M69" s="22"/>
    </row>
    <row r="70" spans="1:13" ht="13" thickBot="1">
      <c r="A70" s="179" t="s">
        <v>112</v>
      </c>
      <c r="B70" s="106"/>
      <c r="C70" s="106"/>
      <c r="D70" s="106"/>
      <c r="E70" s="106"/>
      <c r="F70" s="106"/>
      <c r="G70" s="106"/>
      <c r="H70" s="106"/>
      <c r="I70" s="106"/>
      <c r="J70" s="107"/>
    </row>
    <row r="73" spans="1:13">
      <c r="C73" s="210"/>
      <c r="D73" s="210"/>
      <c r="E73" s="210"/>
      <c r="F73" s="210"/>
      <c r="G73" s="210"/>
    </row>
    <row r="74" spans="1:13">
      <c r="C74" s="210"/>
    </row>
    <row r="75" spans="1:13">
      <c r="C75" s="210"/>
    </row>
    <row r="76" spans="1:13">
      <c r="C76" s="210"/>
    </row>
    <row r="78" spans="1:13">
      <c r="A78" s="31"/>
      <c r="B78" s="31"/>
      <c r="C78" s="31"/>
      <c r="D78" s="31"/>
      <c r="E78" s="31"/>
      <c r="F78" s="31"/>
      <c r="G78" s="31"/>
      <c r="H78" s="31"/>
      <c r="I78" s="31"/>
    </row>
    <row r="90" spans="1:9">
      <c r="A90" s="31"/>
      <c r="B90" s="31"/>
      <c r="C90" s="31"/>
      <c r="D90" s="31"/>
      <c r="E90" s="31"/>
      <c r="F90" s="31"/>
      <c r="G90" s="31"/>
      <c r="H90" s="31"/>
      <c r="I90" s="31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5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88"/>
  <sheetViews>
    <sheetView topLeftCell="A23" zoomScaleNormal="100" workbookViewId="0">
      <selection activeCell="A48" sqref="A48"/>
    </sheetView>
  </sheetViews>
  <sheetFormatPr defaultColWidth="9.1796875" defaultRowHeight="12.5"/>
  <cols>
    <col min="1" max="1" width="34.26953125" style="1" customWidth="1"/>
    <col min="2" max="2" width="11.81640625" style="1" customWidth="1"/>
    <col min="3" max="3" width="14.81640625" style="1" customWidth="1"/>
    <col min="4" max="4" width="11.7265625" style="1" customWidth="1"/>
    <col min="5" max="5" width="12.81640625" style="1" bestFit="1" customWidth="1"/>
    <col min="6" max="6" width="11.81640625" style="1" customWidth="1"/>
    <col min="7" max="7" width="12.7265625" style="1" customWidth="1"/>
    <col min="8" max="9" width="12.453125" style="1" customWidth="1"/>
    <col min="10" max="10" width="10.7265625" style="1" customWidth="1"/>
    <col min="11" max="11" width="12.81640625" style="1" bestFit="1" customWidth="1"/>
    <col min="12" max="13" width="10.7265625" style="1" customWidth="1"/>
    <col min="14" max="14" width="9.1796875" style="1"/>
    <col min="15" max="15" width="12.81640625" style="1" bestFit="1" customWidth="1"/>
    <col min="16" max="17" width="9.1796875" style="1"/>
    <col min="18" max="18" width="10.26953125" style="1" bestFit="1" customWidth="1"/>
    <col min="19" max="16384" width="9.1796875" style="1"/>
  </cols>
  <sheetData>
    <row r="1" spans="1:19" ht="18.5" thickBot="1">
      <c r="A1" s="389" t="s">
        <v>95</v>
      </c>
      <c r="B1" s="38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389"/>
      <c r="N1" s="389"/>
      <c r="O1" s="389"/>
      <c r="P1" s="389"/>
    </row>
    <row r="2" spans="1:19" ht="15" customHeight="1">
      <c r="A2" s="108"/>
      <c r="B2" s="129" t="s">
        <v>72</v>
      </c>
      <c r="C2" s="402" t="s">
        <v>56</v>
      </c>
      <c r="D2" s="403"/>
      <c r="E2" s="403"/>
      <c r="F2" s="404"/>
      <c r="G2" s="402" t="s">
        <v>57</v>
      </c>
      <c r="H2" s="403"/>
      <c r="I2" s="404"/>
      <c r="J2" s="402" t="s">
        <v>58</v>
      </c>
      <c r="K2" s="403"/>
      <c r="L2" s="404"/>
      <c r="M2" s="405" t="s">
        <v>63</v>
      </c>
      <c r="N2" s="406"/>
      <c r="O2" s="406"/>
      <c r="P2" s="407"/>
    </row>
    <row r="3" spans="1:19" ht="13.5" thickBot="1">
      <c r="A3" s="109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318" t="s">
        <v>35</v>
      </c>
      <c r="N3" s="148" t="s">
        <v>40</v>
      </c>
      <c r="O3" s="148" t="s">
        <v>70</v>
      </c>
      <c r="P3" s="127" t="s">
        <v>36</v>
      </c>
    </row>
    <row r="4" spans="1:19" ht="13">
      <c r="A4" s="151"/>
      <c r="B4" s="10"/>
      <c r="C4" s="271"/>
      <c r="D4" s="12"/>
      <c r="E4" s="12"/>
      <c r="F4" s="13"/>
      <c r="G4" s="270"/>
      <c r="H4" s="9"/>
      <c r="I4" s="13"/>
      <c r="J4" s="270"/>
      <c r="K4" s="9"/>
      <c r="L4" s="10"/>
      <c r="M4" s="271"/>
      <c r="N4" s="98"/>
      <c r="O4" s="98"/>
      <c r="P4" s="99"/>
    </row>
    <row r="5" spans="1:19" ht="13">
      <c r="A5" s="111" t="s">
        <v>125</v>
      </c>
      <c r="B5" s="13"/>
      <c r="C5" s="380"/>
      <c r="D5" s="361"/>
      <c r="E5" s="12"/>
      <c r="F5" s="13"/>
      <c r="G5" s="378"/>
      <c r="H5" s="12"/>
      <c r="I5" s="13"/>
      <c r="J5" s="271"/>
      <c r="K5" s="12"/>
      <c r="L5" s="13"/>
      <c r="M5" s="271"/>
      <c r="N5" s="98"/>
      <c r="O5" s="98"/>
      <c r="P5" s="99"/>
    </row>
    <row r="6" spans="1:19" ht="13">
      <c r="A6" s="111" t="s">
        <v>60</v>
      </c>
      <c r="B6" s="266">
        <f>('[2]OLTOU-SYS-NET'!$B$17+'[2]OLTOU-200-SYS-NET'!$B$17)/('[2]OLTOU-SYS-NET'!$G$8+'[2]OLTOU-200-SYS-NET'!$G$8)</f>
        <v>1</v>
      </c>
      <c r="C6" s="276">
        <f>('[2]ADTOU-SYS-NET'!$B$17+'[2]ADTOU-200-SYS-NET'!$B$17+'[2]AYTOU-SYS-NET'!$B$18+'[2]AYTOU-200-SYS-NET'!$B$18+'[2]ALTOU-SYS-NET'!$B$19+'[2]ALTOU-SYS-NET'!$H$19+'[2]ALTOU-200-SYS-NET'!$B$19+'[2]ALTOU-200-SYS-NET'!$H$19+'[2]ALTOU-500-SYS-NET'!$B$19)/('[2]ADTOU-SYS-NET'!$G$8+'[2]ADTOU-200-SYS-NET'!$G$8+'[2]AYTOU-SYS-NET'!$N$9+'[2]AYTOU-200-SYS-NET'!$N$9+'[2]ALTOU-SYS-NET'!$N$9+'[2]ALTOU-200-SYS-NET'!$N$9+'[2]ALTOU-500-SYS-NET'!$N$9)</f>
        <v>0.95273394407636414</v>
      </c>
      <c r="D6" s="265">
        <f>('[2]ADTOU-SYS-NET'!$C$17+'[2]ADTOU-200-SYS-NET'!$C$17+'[2]AYTOU-SYS-NET'!$C$18+'[2]AYTOU-200-SYS-NET'!$C$18+'[2]ALTOU-SYS-NET'!$C$19+'[2]ALTOU-200-SYS-NET'!$C$19+'[2]ALTOU-200-SYS-NET'!$I$19+'[2]ALTOU-500-SYS-NET'!$C$19)/('[2]ADTOU-SYS-NET'!$G$8+'[2]ADTOU-200-SYS-NET'!$G$8+'[2]AYTOU-SYS-NET'!$N$9+'[2]AYTOU-200-SYS-NET'!$N$9+'[2]ALTOU-SYS-NET'!$N$9+'[2]ALTOU-200-SYS-NET'!$N$9+'[2]ALTOU-500-SYS-NET'!$N$9)</f>
        <v>7.4616601702460613E-3</v>
      </c>
      <c r="E6" s="304">
        <f>('[2]ALTOU-SYS-NET'!$F$19+'[2]ALTOU-200-SYS-NET'!$F$19+'[2]ALTOU-500-SYS-NET'!$F$19)/('[2]ADTOU-SYS-NET'!$G$8+'[2]ADTOU-200-SYS-NET'!$G$8+'[2]AYTOU-SYS-NET'!$N$9+'[2]AYTOU-200-SYS-NET'!$N$9+'[2]ALTOU-SYS-NET'!$N$9+'[2]ALTOU-200-SYS-NET'!$N$9+'[2]ALTOU-500-SYS-NET'!$N$9)</f>
        <v>5.5479768998802298E-4</v>
      </c>
      <c r="F6" s="135"/>
      <c r="G6" s="278">
        <f>('[2]DGR-SYS-NET'!$B$17+'[2]DGR-200-SYS-NET'!$B$17)/('[2]DGR-SYS-NET'!$G$8+'[2]DGR-200-SYS-NET'!$G$8+'[2]DGR-500-SYS-NET'!$G$8)</f>
        <v>0.95045664633936877</v>
      </c>
      <c r="H6" s="381">
        <f>('[2]DGR-SYS-NET'!$C$17+'[2]DGR-200-SYS-NET'!$C$17)/('[2]DGR-SYS-NET'!$G$8+'[2]DGR-200-SYS-NET'!$G$8+'[2]DGR-500-SYS-NET'!$G$8)</f>
        <v>2.3142975618535367E-3</v>
      </c>
      <c r="I6" s="135"/>
      <c r="J6" s="276"/>
      <c r="K6" s="265"/>
      <c r="L6" s="266"/>
      <c r="M6" s="319"/>
      <c r="N6" s="136"/>
      <c r="O6" s="136"/>
      <c r="P6" s="157"/>
    </row>
    <row r="7" spans="1:19" ht="13">
      <c r="A7" s="111" t="s">
        <v>61</v>
      </c>
      <c r="B7" s="267"/>
      <c r="C7" s="276">
        <f>('[2]ADTOU-SYS-NET'!$B$18+'[2]ADTOU-200-SYS-NET'!$B$18+'[2]AYTOU-SYS-NET'!$B$19+'[2]AYTOU-200-SYS-NET'!$B$19+'[2]ALTOU-SYS-NET'!$B$20+'[2]ALTOU-200-SYS-NET'!$B$20+'[2]ALTOU-500-SYS-NET'!$B$20+'[2]ALTOU-500-SYS-NET'!$D$20)/('[2]ADTOU-SYS-NET'!$G$8+'[2]ADTOU-200-SYS-NET'!$G$8+'[2]AYTOU-SYS-NET'!$N$9+'[2]AYTOU-200-SYS-NET'!$N$9+'[2]ALTOU-SYS-NET'!$N$9+'[2]ALTOU-200-SYS-NET'!$N$9+'[2]ALTOU-500-SYS-NET'!$N$9)</f>
        <v>2.8104082867139696E-2</v>
      </c>
      <c r="D7" s="265">
        <f>('[2]ADTOU-SYS-NET'!$C$18+'[2]ADTOU-200-SYS-NET'!$C$18+'[2]AYTOU-SYS-NET'!$C$19+'[2]AYTOU-200-SYS-NET'!$C$19+'[2]ALTOU-SYS-NET'!$C$20+'[2]ALTOU-200-SYS-NET'!$C$20+'[2]ALTOU-500-SYS-NET'!$C$20+'[2]ALTOU-500-SYS-NET'!$E$20)/('[2]ADTOU-SYS-NET'!$G$8+'[2]ADTOU-200-SYS-NET'!$G$8+'[2]AYTOU-SYS-NET'!$N$9+'[2]AYTOU-200-SYS-NET'!$N$9+'[2]ALTOU-SYS-NET'!$N$9+'[2]ALTOU-200-SYS-NET'!$N$9+'[2]ALTOU-500-SYS-NET'!$N$9)</f>
        <v>1.0396222175396362E-2</v>
      </c>
      <c r="E7" s="304">
        <f>('[2]ALTOU-SYS-NET'!$F$20+'[2]ALTOU-200-SYS-NET'!$F$20+'[2]ALTOU-500-SYS-NET'!$F$20)/('[2]ADTOU-SYS-NET'!$G$8+'[2]ADTOU-200-SYS-NET'!$G$8+'[2]AYTOU-SYS-NET'!$N$9+'[2]AYTOU-200-SYS-NET'!$N$9+'[2]ALTOU-SYS-NET'!$N$9+'[2]ALTOU-200-SYS-NET'!$N$9+'[2]ALTOU-500-SYS-NET'!$N$9)</f>
        <v>5.0746186193899756E-4</v>
      </c>
      <c r="F7" s="135"/>
      <c r="G7" s="278">
        <f>('[2]DGR-500-SYS-NET'!$B$18)/('[2]DGR-SYS-NET'!$G$8+'[2]DGR-200-SYS-NET'!$G$8+'[2]DGR-500-SYS-NET'!$G$8)</f>
        <v>4.3023403187370947E-2</v>
      </c>
      <c r="H7" s="381">
        <f>('[2]DGR-500-SYS-NET'!$C$18)/('[2]DGR-SYS-NET'!$G$8+'[2]DGR-200-SYS-NET'!$G$8+'[2]DGR-500-SYS-NET'!$G$8)</f>
        <v>4.2056529114066123E-3</v>
      </c>
      <c r="I7" s="135"/>
      <c r="J7" s="276">
        <f>('[2]A6TOU-500-SYS-NET'!$C$17+'[2]A6TOU-500-SYS-NET'!$E$17)/'[2]A6TOU-500-SYS-NET'!$G$8</f>
        <v>0.63020628361537445</v>
      </c>
      <c r="K7" s="265">
        <f>'[2]A6TOU-500-SYS-NET'!$F$17/'[2]A6TOU-500-SYS-NET'!$G$8</f>
        <v>0.22496884428702607</v>
      </c>
      <c r="L7" s="135"/>
      <c r="M7" s="319"/>
      <c r="N7" s="136"/>
      <c r="O7" s="136"/>
      <c r="P7" s="157"/>
    </row>
    <row r="8" spans="1:19" ht="13">
      <c r="A8" s="111" t="s">
        <v>62</v>
      </c>
      <c r="B8" s="267"/>
      <c r="C8" s="280"/>
      <c r="D8" s="304">
        <f>('[2]ALTOU-SYS-NET'!$C$21+'[2]ALTOU-200-SYS-NET'!$C$21+'[2]ALTOU-500-SYS-NET'!$C$21+'[2]ALTOU-500-SYS-NET'!$E$21)/('[2]ADTOU-SYS-NET'!$G$8+'[2]ADTOU-200-SYS-NET'!$G$8+'[2]AYTOU-SYS-NET'!$N$9+'[2]AYTOU-200-SYS-NET'!$N$9+'[2]ALTOU-SYS-NET'!$N$9+'[2]ALTOU-200-SYS-NET'!$N$9+'[2]ALTOU-500-SYS-NET'!$N$9)</f>
        <v>1.8492405381935307E-4</v>
      </c>
      <c r="E8" s="304">
        <f>('[2]ALTOU-SYS-NET'!$F$21+'[2]ALTOU-200-SYS-NET'!$F$21+'[2]ALTOU-500-SYS-NET'!$F$21)/('[2]ADTOU-SYS-NET'!$G$8+'[2]ADTOU-200-SYS-NET'!$G$8+'[2]AYTOU-SYS-NET'!$N$9+'[2]AYTOU-200-SYS-NET'!$N$9+'[2]ALTOU-SYS-NET'!$N$9+'[2]ALTOU-200-SYS-NET'!$N$9+'[2]ALTOU-500-SYS-NET'!$N$9)</f>
        <v>5.6907105107494501E-5</v>
      </c>
      <c r="F8" s="286"/>
      <c r="G8" s="281"/>
      <c r="H8" s="282"/>
      <c r="I8" s="283"/>
      <c r="J8" s="307"/>
      <c r="K8" s="265">
        <f>'[2]A6TOU-500-SYS-NET'!$F$18/'[2]A6TOU-500-SYS-NET'!$G$8</f>
        <v>0.14482487209759937</v>
      </c>
      <c r="L8" s="135"/>
      <c r="M8" s="320"/>
      <c r="N8" s="302"/>
      <c r="O8" s="302"/>
      <c r="P8" s="303"/>
    </row>
    <row r="9" spans="1:19" ht="13">
      <c r="A9" s="111"/>
      <c r="B9" s="13"/>
      <c r="C9" s="277"/>
      <c r="D9" s="138"/>
      <c r="E9" s="362"/>
      <c r="F9" s="289"/>
      <c r="G9" s="277"/>
      <c r="H9" s="138"/>
      <c r="I9" s="137"/>
      <c r="J9" s="277"/>
      <c r="K9" s="360"/>
      <c r="L9" s="288"/>
      <c r="M9" s="279"/>
      <c r="N9" s="98"/>
      <c r="O9" s="98"/>
      <c r="P9" s="99"/>
      <c r="R9" s="291"/>
    </row>
    <row r="10" spans="1:19" ht="13">
      <c r="A10" s="111" t="s">
        <v>103</v>
      </c>
      <c r="B10" s="103">
        <f t="shared" ref="B10:P10" si="0">B11+B12+B13</f>
        <v>40</v>
      </c>
      <c r="C10" s="178">
        <f t="shared" si="0"/>
        <v>20330.892358987192</v>
      </c>
      <c r="D10" s="102">
        <f t="shared" si="0"/>
        <v>373.99279461524361</v>
      </c>
      <c r="E10" s="102">
        <f t="shared" si="0"/>
        <v>23.198179730899515</v>
      </c>
      <c r="F10" s="103">
        <f>C10+D10+E10</f>
        <v>20728.083333333332</v>
      </c>
      <c r="G10" s="178">
        <f t="shared" si="0"/>
        <v>466.10772323629544</v>
      </c>
      <c r="H10" s="102">
        <f t="shared" si="0"/>
        <v>3.0589434303712202</v>
      </c>
      <c r="I10" s="103">
        <f>G10+H10</f>
        <v>469.16666666666669</v>
      </c>
      <c r="J10" s="178">
        <f t="shared" si="0"/>
        <v>14.494744523153612</v>
      </c>
      <c r="K10" s="102">
        <f t="shared" si="0"/>
        <v>8.5052554768463846</v>
      </c>
      <c r="L10" s="103">
        <f>J10+K10</f>
        <v>22.999999999999996</v>
      </c>
      <c r="M10" s="178">
        <f t="shared" si="0"/>
        <v>20837.000082223487</v>
      </c>
      <c r="N10" s="102">
        <f t="shared" si="0"/>
        <v>391.54648256876845</v>
      </c>
      <c r="O10" s="102">
        <f t="shared" si="0"/>
        <v>31.703435207745898</v>
      </c>
      <c r="P10" s="103">
        <f t="shared" si="0"/>
        <v>21260.25</v>
      </c>
      <c r="Q10" s="102"/>
      <c r="R10" s="210"/>
      <c r="S10" s="368"/>
    </row>
    <row r="11" spans="1:19" ht="13">
      <c r="A11" s="111" t="s">
        <v>60</v>
      </c>
      <c r="B11" s="260">
        <f>'[1]SDGE-CustMonth-Forecast A'!$T$127/12*B6</f>
        <v>40</v>
      </c>
      <c r="C11" s="272">
        <f>('[1]SDGE-CustMonth-Forecast A'!$T$107+'[1]SDGE-CustMonth-Forecast A'!$T$111+'[1]SDGE-CustMonth-Forecast A'!$T$115+'[1]SDGE-CustMonth-Forecast A'!$T$119+'[1]SDGE-CustMonth-Forecast A'!$T$123)/12*C6</f>
        <v>19748.348587310214</v>
      </c>
      <c r="D11" s="259">
        <f>('[1]SDGE-CustMonth-Forecast A'!$T$107+'[1]SDGE-CustMonth-Forecast A'!$T$111+'[1]SDGE-CustMonth-Forecast A'!$T$115+'[1]SDGE-CustMonth-Forecast A'!$T$119+'[1]SDGE-CustMonth-Forecast A'!$T$123)/12*D6</f>
        <v>154.66591381387454</v>
      </c>
      <c r="E11" s="259">
        <f>('[1]SDGE-CustMonth-Forecast A'!$T$107+'[1]SDGE-CustMonth-Forecast A'!$T$111+'[1]SDGE-CustMonth-Forecast A'!$T$115+'[1]SDGE-CustMonth-Forecast A'!$T$119+'[1]SDGE-CustMonth-Forecast A'!$T$123)/12*E6</f>
        <v>11.499892751212572</v>
      </c>
      <c r="F11" s="103">
        <f t="shared" ref="F11:F13" si="1">C11+D11+E11</f>
        <v>19914.514393875303</v>
      </c>
      <c r="G11" s="272">
        <f>'[1]SDGE-CustMonth-Forecast A'!$T$131/12*G6</f>
        <v>445.92257657422056</v>
      </c>
      <c r="H11" s="259">
        <f>'[1]SDGE-CustMonth-Forecast A'!$T$131/12*H6</f>
        <v>1.0857912727696177</v>
      </c>
      <c r="I11" s="103">
        <f t="shared" ref="I11:I12" si="2">G11+H11</f>
        <v>447.00836784699015</v>
      </c>
      <c r="J11" s="272">
        <f>'[1]SDGE-CustMonth-Forecast A'!$T$135/12*J7</f>
        <v>14.494744523153612</v>
      </c>
      <c r="K11" s="259">
        <f>'[1]SDGE-CustMonth-Forecast A'!$T$135/12*K7</f>
        <v>5.1742834186015996</v>
      </c>
      <c r="L11" s="103">
        <f t="shared" ref="L11:L12" si="3">J11+K11</f>
        <v>19.669027941755211</v>
      </c>
      <c r="M11" s="321">
        <f>B11+C11+G11</f>
        <v>20234.271163884434</v>
      </c>
      <c r="N11" s="77">
        <f>D11+H11+J11</f>
        <v>170.24644960979776</v>
      </c>
      <c r="O11" s="77">
        <f>E11+K11</f>
        <v>16.674176169814171</v>
      </c>
      <c r="P11" s="132">
        <f>SUM(M11:O11)</f>
        <v>20421.191789664044</v>
      </c>
      <c r="Q11" s="76"/>
      <c r="R11" s="210"/>
    </row>
    <row r="12" spans="1:19" ht="13">
      <c r="A12" s="111" t="s">
        <v>61</v>
      </c>
      <c r="B12" s="260"/>
      <c r="C12" s="272">
        <f>('[1]SDGE-CustMonth-Forecast A'!$T$107+'[1]SDGE-CustMonth-Forecast A'!$T$111+'[1]SDGE-CustMonth-Forecast A'!$T$115+'[1]SDGE-CustMonth-Forecast A'!$T$119+'[1]SDGE-CustMonth-Forecast A'!$T$123)/12*C7</f>
        <v>582.54377167697714</v>
      </c>
      <c r="D12" s="259">
        <f>('[1]SDGE-CustMonth-Forecast A'!$T$107+'[1]SDGE-CustMonth-Forecast A'!$T$111+'[1]SDGE-CustMonth-Forecast A'!$T$115+'[1]SDGE-CustMonth-Forecast A'!$T$119+'[1]SDGE-CustMonth-Forecast A'!$T$123)/12*D7</f>
        <v>215.49375960346373</v>
      </c>
      <c r="E12" s="259">
        <f>('[1]SDGE-CustMonth-Forecast A'!$T$107+'[1]SDGE-CustMonth-Forecast A'!$T$111+'[1]SDGE-CustMonth-Forecast A'!$T$115+'[1]SDGE-CustMonth-Forecast A'!$T$119+'[1]SDGE-CustMonth-Forecast A'!$T$123)/12*E7</f>
        <v>10.518711762760036</v>
      </c>
      <c r="F12" s="103">
        <f t="shared" si="1"/>
        <v>808.55624304320088</v>
      </c>
      <c r="G12" s="272">
        <f>'[1]SDGE-CustMonth-Forecast A'!$T$131/12*G7</f>
        <v>20.185146662074871</v>
      </c>
      <c r="H12" s="259">
        <f>'[1]SDGE-CustMonth-Forecast A'!$T$131/12*H7</f>
        <v>1.9731521576016025</v>
      </c>
      <c r="I12" s="103">
        <f t="shared" si="2"/>
        <v>22.158298819676475</v>
      </c>
      <c r="J12" s="272"/>
      <c r="K12" s="259">
        <f>'[1]SDGE-CustMonth-Forecast A'!$T$135/12*K8</f>
        <v>3.3309720582447855</v>
      </c>
      <c r="L12" s="103">
        <f t="shared" si="3"/>
        <v>3.3309720582447855</v>
      </c>
      <c r="M12" s="321">
        <f>B12+C12+G12</f>
        <v>602.72891833905203</v>
      </c>
      <c r="N12" s="77">
        <f t="shared" ref="N12:N13" si="4">D12+H12+J12</f>
        <v>217.46691176106532</v>
      </c>
      <c r="O12" s="77">
        <f>E12+K12</f>
        <v>13.849683821004822</v>
      </c>
      <c r="P12" s="132">
        <f t="shared" ref="P12:P13" si="5">SUM(M12:O12)</f>
        <v>834.04551392112216</v>
      </c>
      <c r="R12" s="210"/>
    </row>
    <row r="13" spans="1:19" ht="13">
      <c r="A13" s="111" t="s">
        <v>62</v>
      </c>
      <c r="B13" s="260"/>
      <c r="C13" s="367"/>
      <c r="D13" s="259">
        <f>('[1]SDGE-CustMonth-Forecast A'!$T$107+'[1]SDGE-CustMonth-Forecast A'!$T$111+'[1]SDGE-CustMonth-Forecast A'!$T$115+'[1]SDGE-CustMonth-Forecast A'!$T$119+'[1]SDGE-CustMonth-Forecast A'!$T$123)/12*D8</f>
        <v>3.8331211979053688</v>
      </c>
      <c r="E13" s="259">
        <f>('[1]SDGE-CustMonth-Forecast A'!$T$107+'[1]SDGE-CustMonth-Forecast A'!$T$111+'[1]SDGE-CustMonth-Forecast A'!$T$115+'[1]SDGE-CustMonth-Forecast A'!$T$119+'[1]SDGE-CustMonth-Forecast A'!$T$123)/12*E8</f>
        <v>1.1795752169269049</v>
      </c>
      <c r="F13" s="103">
        <f t="shared" si="1"/>
        <v>5.0126964148322735</v>
      </c>
      <c r="G13" s="272"/>
      <c r="H13" s="259"/>
      <c r="I13" s="103"/>
      <c r="J13" s="272"/>
      <c r="K13" s="259"/>
      <c r="L13" s="103"/>
      <c r="M13" s="321"/>
      <c r="N13" s="77">
        <f t="shared" si="4"/>
        <v>3.8331211979053688</v>
      </c>
      <c r="O13" s="77">
        <f>E13+K13</f>
        <v>1.1795752169269049</v>
      </c>
      <c r="P13" s="132">
        <f t="shared" si="5"/>
        <v>5.0126964148322735</v>
      </c>
      <c r="R13" s="210"/>
    </row>
    <row r="14" spans="1:19" ht="13">
      <c r="A14" s="111"/>
      <c r="B14" s="261"/>
      <c r="C14" s="272"/>
      <c r="D14" s="259"/>
      <c r="E14" s="259"/>
      <c r="F14" s="260"/>
      <c r="G14" s="272"/>
      <c r="H14" s="259"/>
      <c r="I14" s="260"/>
      <c r="J14" s="272"/>
      <c r="K14" s="259"/>
      <c r="L14" s="260"/>
      <c r="M14" s="321"/>
      <c r="N14" s="147"/>
      <c r="O14" s="98"/>
      <c r="P14" s="99"/>
      <c r="R14" s="210"/>
    </row>
    <row r="15" spans="1:19" ht="13">
      <c r="A15" s="111" t="s">
        <v>104</v>
      </c>
      <c r="B15" s="263"/>
      <c r="C15" s="273"/>
      <c r="D15" s="262"/>
      <c r="E15" s="262"/>
      <c r="F15" s="369"/>
      <c r="G15" s="273"/>
      <c r="H15" s="262"/>
      <c r="I15" s="263"/>
      <c r="J15" s="273"/>
      <c r="K15" s="262"/>
      <c r="L15" s="263"/>
      <c r="M15" s="176"/>
      <c r="N15" s="143"/>
      <c r="O15" s="150"/>
      <c r="P15" s="133"/>
      <c r="R15" s="210"/>
    </row>
    <row r="16" spans="1:19" ht="13">
      <c r="A16" s="111" t="s">
        <v>9</v>
      </c>
      <c r="B16" s="103">
        <f t="shared" ref="B16" si="6">B17+B18+B19</f>
        <v>40</v>
      </c>
      <c r="C16" s="178">
        <f t="shared" ref="C16" si="7">C17+C18+C19</f>
        <v>20138.566369204022</v>
      </c>
      <c r="D16" s="102">
        <f t="shared" ref="D16" si="8">D17+D18+D19</f>
        <v>370.45490099374922</v>
      </c>
      <c r="E16" s="102">
        <f t="shared" ref="E16" si="9">E17+E18+E19</f>
        <v>22.978729802232664</v>
      </c>
      <c r="F16" s="103">
        <f>C16+D16+E16</f>
        <v>20532.000000000004</v>
      </c>
      <c r="G16" s="178">
        <f t="shared" ref="G16" si="10">G17+G18+G19</f>
        <v>445.07906218797939</v>
      </c>
      <c r="H16" s="102">
        <f t="shared" ref="H16" si="11">H17+H18+H19</f>
        <v>2.9209378120205467</v>
      </c>
      <c r="I16" s="103">
        <f>G16+H16</f>
        <v>447.99999999999994</v>
      </c>
      <c r="J16" s="178">
        <f t="shared" ref="J16" si="12">J17+J18+J19</f>
        <v>14.494744523153612</v>
      </c>
      <c r="K16" s="102">
        <f t="shared" ref="K16" si="13">K17+K18+K19</f>
        <v>8.5052554768463846</v>
      </c>
      <c r="L16" s="103">
        <f>J16+K16</f>
        <v>22.999999999999996</v>
      </c>
      <c r="M16" s="178">
        <f t="shared" ref="M16" si="14">M17+M18+M19</f>
        <v>20623.645431392</v>
      </c>
      <c r="N16" s="102">
        <f t="shared" ref="N16" si="15">N17+N18+N19</f>
        <v>387.87058332892332</v>
      </c>
      <c r="O16" s="102">
        <f t="shared" ref="O16" si="16">O17+O18+O19</f>
        <v>31.48398527907905</v>
      </c>
      <c r="P16" s="103">
        <f t="shared" ref="P16" si="17">P17+P18+P19</f>
        <v>21043.000000000007</v>
      </c>
      <c r="R16" s="210"/>
    </row>
    <row r="17" spans="1:18" ht="13">
      <c r="A17" s="111" t="s">
        <v>60</v>
      </c>
      <c r="B17" s="264">
        <f>'[1]SDGE-Cust-Forecast'!$GC$127</f>
        <v>40</v>
      </c>
      <c r="C17" s="274">
        <f>('[1]SDGE-Cust-Forecast'!$GC$107+'[1]SDGE-Cust-Forecast'!$GC$111+'[1]SDGE-Cust-Forecast'!$GC$115+'[1]SDGE-Cust-Forecast'!$GC$119+'[1]SDGE-Cust-Forecast'!$GC$123)*C6</f>
        <v>19561.53333977591</v>
      </c>
      <c r="D17" s="258">
        <f>('[1]SDGE-Cust-Forecast'!$GC$107+'[1]SDGE-Cust-Forecast'!$GC$111+'[1]SDGE-Cust-Forecast'!$GC$115+'[1]SDGE-Cust-Forecast'!$GC$119+'[1]SDGE-Cust-Forecast'!$GC$123)*D6</f>
        <v>153.20280661549214</v>
      </c>
      <c r="E17" s="258">
        <f>('[1]SDGE-Cust-Forecast'!$GC$107+'[1]SDGE-Cust-Forecast'!$GC$111+'[1]SDGE-Cust-Forecast'!$GC$115+'[1]SDGE-Cust-Forecast'!$GC$119+'[1]SDGE-Cust-Forecast'!$GC$123)*E6</f>
        <v>11.391106170834087</v>
      </c>
      <c r="F17" s="103">
        <f t="shared" ref="F17:F19" si="18">C17+D17+E17</f>
        <v>19726.127252562237</v>
      </c>
      <c r="G17" s="274">
        <f>'[1]SDGE-Cust-Forecast'!$GC$131*G6</f>
        <v>425.80457756003722</v>
      </c>
      <c r="H17" s="258">
        <f>'[1]SDGE-Cust-Forecast'!$GC$131*H6</f>
        <v>1.0368053077103845</v>
      </c>
      <c r="I17" s="103">
        <f t="shared" ref="I17:I18" si="19">G17+H17</f>
        <v>426.8413828677476</v>
      </c>
      <c r="J17" s="274"/>
      <c r="K17" s="258"/>
      <c r="L17" s="103"/>
      <c r="M17" s="321">
        <f>B17+C17+G17</f>
        <v>20027.337917335946</v>
      </c>
      <c r="N17" s="77">
        <f>D17+H17+J17</f>
        <v>154.23961192320252</v>
      </c>
      <c r="O17" s="77">
        <f>E17+K17</f>
        <v>11.391106170834087</v>
      </c>
      <c r="P17" s="132">
        <f>SUM(M17:O17)</f>
        <v>20192.968635429985</v>
      </c>
      <c r="R17" s="210"/>
    </row>
    <row r="18" spans="1:18" ht="13">
      <c r="A18" s="111" t="s">
        <v>61</v>
      </c>
      <c r="B18" s="264"/>
      <c r="C18" s="274">
        <f>('[1]SDGE-Cust-Forecast'!$GC$107+'[1]SDGE-Cust-Forecast'!$GC$111+'[1]SDGE-Cust-Forecast'!$GC$115+'[1]SDGE-Cust-Forecast'!$GC$119+'[1]SDGE-Cust-Forecast'!$GC$123)*C7</f>
        <v>577.03302942811229</v>
      </c>
      <c r="D18" s="258">
        <f>('[1]SDGE-Cust-Forecast'!$GC$107+'[1]SDGE-Cust-Forecast'!$GC$111+'[1]SDGE-Cust-Forecast'!$GC$115+'[1]SDGE-Cust-Forecast'!$GC$119+'[1]SDGE-Cust-Forecast'!$GC$123)*D7</f>
        <v>213.4552337052381</v>
      </c>
      <c r="E18" s="258">
        <f>('[1]SDGE-Cust-Forecast'!$GC$107+'[1]SDGE-Cust-Forecast'!$GC$111+'[1]SDGE-Cust-Forecast'!$GC$115+'[1]SDGE-Cust-Forecast'!$GC$119+'[1]SDGE-Cust-Forecast'!$GC$123)*E7</f>
        <v>10.419206949331498</v>
      </c>
      <c r="F18" s="103">
        <f t="shared" si="18"/>
        <v>800.90747008268193</v>
      </c>
      <c r="G18" s="274">
        <f>'[1]SDGE-Cust-Forecast'!$GC$131*G7</f>
        <v>19.274484627942183</v>
      </c>
      <c r="H18" s="258">
        <f>'[1]SDGE-Cust-Forecast'!$GC$131*H7</f>
        <v>1.8841325043101622</v>
      </c>
      <c r="I18" s="103">
        <f t="shared" si="19"/>
        <v>21.158617132252346</v>
      </c>
      <c r="J18" s="274">
        <f>'[1]SDGE-Cust-Forecast'!$GC$135*J7</f>
        <v>14.494744523153612</v>
      </c>
      <c r="K18" s="258">
        <f>'[1]SDGE-Cust-Forecast'!$GC$135*K7</f>
        <v>5.1742834186015996</v>
      </c>
      <c r="L18" s="103">
        <f t="shared" ref="L18:L19" si="20">J18+K18</f>
        <v>19.669027941755211</v>
      </c>
      <c r="M18" s="321">
        <f>B18+C18+G18</f>
        <v>596.30751405605452</v>
      </c>
      <c r="N18" s="77">
        <f t="shared" ref="N18:N19" si="21">D18+H18+J18</f>
        <v>229.83411073270187</v>
      </c>
      <c r="O18" s="77">
        <f>E18+K18</f>
        <v>15.593490367933097</v>
      </c>
      <c r="P18" s="132">
        <f t="shared" ref="P18:P19" si="22">SUM(M18:O18)</f>
        <v>841.73511515668952</v>
      </c>
      <c r="R18" s="210"/>
    </row>
    <row r="19" spans="1:18" ht="13">
      <c r="A19" s="111" t="s">
        <v>62</v>
      </c>
      <c r="B19" s="264"/>
      <c r="C19" s="274">
        <f>('[1]SDGE-Cust-Forecast'!$GC$107+'[1]SDGE-Cust-Forecast'!$GC$111+'[1]SDGE-Cust-Forecast'!$GC$115+'[1]SDGE-Cust-Forecast'!$GC$119+'[1]SDGE-Cust-Forecast'!$GC$123)*C8</f>
        <v>0</v>
      </c>
      <c r="D19" s="258">
        <f>('[1]SDGE-Cust-Forecast'!$GC$107+'[1]SDGE-Cust-Forecast'!$GC$111+'[1]SDGE-Cust-Forecast'!$GC$115+'[1]SDGE-Cust-Forecast'!$GC$119+'[1]SDGE-Cust-Forecast'!$GC$123)*D8</f>
        <v>3.7968606730189571</v>
      </c>
      <c r="E19" s="258">
        <f>('[1]SDGE-Cust-Forecast'!$GC$107+'[1]SDGE-Cust-Forecast'!$GC$111+'[1]SDGE-Cust-Forecast'!$GC$115+'[1]SDGE-Cust-Forecast'!$GC$119+'[1]SDGE-Cust-Forecast'!$GC$123)*E8</f>
        <v>1.1684166820670772</v>
      </c>
      <c r="F19" s="103">
        <f t="shared" si="18"/>
        <v>4.9652773550860339</v>
      </c>
      <c r="G19" s="274"/>
      <c r="H19" s="258"/>
      <c r="I19" s="103"/>
      <c r="J19" s="274"/>
      <c r="K19" s="258">
        <f>'[1]SDGE-Cust-Forecast'!$GC$135*K8</f>
        <v>3.3309720582447855</v>
      </c>
      <c r="L19" s="103">
        <f t="shared" si="20"/>
        <v>3.3309720582447855</v>
      </c>
      <c r="M19" s="321"/>
      <c r="N19" s="77">
        <f t="shared" si="21"/>
        <v>3.7968606730189571</v>
      </c>
      <c r="O19" s="77">
        <f>E19+K19</f>
        <v>4.4993887403118631</v>
      </c>
      <c r="P19" s="132">
        <f t="shared" si="22"/>
        <v>8.2962494133308198</v>
      </c>
      <c r="R19" s="210"/>
    </row>
    <row r="20" spans="1:18" ht="13">
      <c r="A20" s="111"/>
      <c r="B20" s="264"/>
      <c r="C20" s="274"/>
      <c r="D20" s="258"/>
      <c r="E20" s="258"/>
      <c r="F20" s="264"/>
      <c r="G20" s="274"/>
      <c r="H20" s="258"/>
      <c r="I20" s="264"/>
      <c r="J20" s="274"/>
      <c r="K20" s="258"/>
      <c r="L20" s="264"/>
      <c r="M20" s="321"/>
      <c r="N20" s="143"/>
      <c r="O20" s="143"/>
      <c r="P20" s="133"/>
      <c r="R20" s="210"/>
    </row>
    <row r="21" spans="1:18" ht="13">
      <c r="A21" s="111" t="s">
        <v>105</v>
      </c>
      <c r="B21" s="103">
        <f t="shared" ref="B21" si="23">B22+B23+B24</f>
        <v>0</v>
      </c>
      <c r="C21" s="178">
        <f t="shared" ref="C21" si="24">C22+C23+C24</f>
        <v>307.0023024333143</v>
      </c>
      <c r="D21" s="102">
        <f t="shared" ref="D21" si="25">D22+D23+D24</f>
        <v>5.6473984030315432</v>
      </c>
      <c r="E21" s="310">
        <f t="shared" ref="E21" si="26">E22+E23+E24</f>
        <v>0.3502991636518038</v>
      </c>
      <c r="F21" s="103">
        <f>C21+D21+E21</f>
        <v>312.99999999999767</v>
      </c>
      <c r="G21" s="178">
        <f t="shared" ref="G21" si="27">G22+G23+G24</f>
        <v>45.700082278230013</v>
      </c>
      <c r="H21" s="102">
        <f t="shared" ref="H21" si="28">H22+H23+H24</f>
        <v>0.29991772176996689</v>
      </c>
      <c r="I21" s="103">
        <f>G21+H21</f>
        <v>45.999999999999979</v>
      </c>
      <c r="J21" s="178">
        <f t="shared" ref="J21" si="29">J22+J23+J24</f>
        <v>0</v>
      </c>
      <c r="K21" s="102">
        <f t="shared" ref="K21" si="30">K22+K23+K24</f>
        <v>0</v>
      </c>
      <c r="L21" s="103">
        <f>J21+K21</f>
        <v>0</v>
      </c>
      <c r="M21" s="178">
        <f t="shared" ref="M21" si="31">M22+M23+M24</f>
        <v>352.70238471154431</v>
      </c>
      <c r="N21" s="102">
        <f t="shared" ref="N21" si="32">N22+N23+N24</f>
        <v>5.9473161248015103</v>
      </c>
      <c r="O21" s="102">
        <f t="shared" ref="O21" si="33">O22+O23+O24</f>
        <v>0.3502991636518038</v>
      </c>
      <c r="P21" s="103">
        <f t="shared" ref="P21" si="34">P22+P23+P24</f>
        <v>358.99999999999767</v>
      </c>
      <c r="R21" s="210"/>
    </row>
    <row r="22" spans="1:18" ht="13">
      <c r="A22" s="111" t="s">
        <v>60</v>
      </c>
      <c r="B22" s="264">
        <f>'[1]SDGE-Cust-Forecast'!$GO$127-B17</f>
        <v>0</v>
      </c>
      <c r="C22" s="274">
        <f>('[1]SDGE-Cust-Forecast'!$GO$107+'[1]SDGE-Cust-Forecast'!$GO$111+'[1]SDGE-Cust-Forecast'!$GO$115+'[1]SDGE-Cust-Forecast'!$GO$119+'[1]SDGE-Cust-Forecast'!$GO$123)*C6-C17</f>
        <v>298.20572449589963</v>
      </c>
      <c r="D22" s="258">
        <f>('[1]SDGE-Cust-Forecast'!$GO$107+'[1]SDGE-Cust-Forecast'!$GO$111+'[1]SDGE-Cust-Forecast'!$GO$115+'[1]SDGE-Cust-Forecast'!$GO$119+'[1]SDGE-Cust-Forecast'!$GO$123)*D6-D17</f>
        <v>2.3354996332870144</v>
      </c>
      <c r="E22" s="308">
        <f>('[1]SDGE-Cust-Forecast'!$GO$107+'[1]SDGE-Cust-Forecast'!$GO$111+'[1]SDGE-Cust-Forecast'!$GO$115+'[1]SDGE-Cust-Forecast'!$GO$119+'[1]SDGE-Cust-Forecast'!$GO$123)*E6-E17</f>
        <v>0.1736516769662515</v>
      </c>
      <c r="F22" s="103">
        <f t="shared" ref="F22:F24" si="35">C22+D22+E22</f>
        <v>300.71487580615286</v>
      </c>
      <c r="G22" s="274">
        <f>'[1]SDGE-Cust-Forecast'!$GO$131*G6-G17</f>
        <v>43.721005731610944</v>
      </c>
      <c r="H22" s="258">
        <f>'[1]SDGE-Cust-Forecast'!$GO$131*H6-H17</f>
        <v>0.10645768784526255</v>
      </c>
      <c r="I22" s="103">
        <f t="shared" ref="I22:I23" si="36">G22+H22</f>
        <v>43.827463419456208</v>
      </c>
      <c r="J22" s="274"/>
      <c r="K22" s="258"/>
      <c r="L22" s="103"/>
      <c r="M22" s="321">
        <f>B22+C22+G22</f>
        <v>341.92673022751057</v>
      </c>
      <c r="N22" s="77">
        <f>D22+H22+J22</f>
        <v>2.4419573211322767</v>
      </c>
      <c r="O22" s="77">
        <f>E22+K22</f>
        <v>0.1736516769662515</v>
      </c>
      <c r="P22" s="132">
        <f>SUM(M22:O22)</f>
        <v>344.54233922560911</v>
      </c>
      <c r="R22" s="210"/>
    </row>
    <row r="23" spans="1:18" ht="13">
      <c r="A23" s="111" t="s">
        <v>61</v>
      </c>
      <c r="B23" s="264"/>
      <c r="C23" s="274">
        <f>('[1]SDGE-Cust-Forecast'!$GO$107+'[1]SDGE-Cust-Forecast'!$GO$111+'[1]SDGE-Cust-Forecast'!$GO$115+'[1]SDGE-Cust-Forecast'!$GO$119+'[1]SDGE-Cust-Forecast'!$GO$123)*C7-C18</f>
        <v>8.7965779374146678</v>
      </c>
      <c r="D23" s="258">
        <f>('[1]SDGE-Cust-Forecast'!$GO$107+'[1]SDGE-Cust-Forecast'!$GO$111+'[1]SDGE-Cust-Forecast'!$GO$115+'[1]SDGE-Cust-Forecast'!$GO$119+'[1]SDGE-Cust-Forecast'!$GO$123)*D7-D18</f>
        <v>3.2540175408990706</v>
      </c>
      <c r="E23" s="308">
        <f>('[1]SDGE-Cust-Forecast'!$GO$107+'[1]SDGE-Cust-Forecast'!$GO$111+'[1]SDGE-Cust-Forecast'!$GO$115+'[1]SDGE-Cust-Forecast'!$GO$119+'[1]SDGE-Cust-Forecast'!$GO$123)*E7-E18</f>
        <v>0.15883556278690669</v>
      </c>
      <c r="F23" s="103">
        <f t="shared" si="35"/>
        <v>12.209431041100645</v>
      </c>
      <c r="G23" s="274">
        <f>'[1]SDGE-Cust-Forecast'!$GO$131*G7-G18</f>
        <v>1.9790765466190656</v>
      </c>
      <c r="H23" s="258">
        <f>'[1]SDGE-Cust-Forecast'!$GO$131*H7-H18</f>
        <v>0.19346003392470434</v>
      </c>
      <c r="I23" s="103">
        <f t="shared" si="36"/>
        <v>2.17253658054377</v>
      </c>
      <c r="J23" s="274">
        <f>'[1]SDGE-Cust-Forecast'!$GO$135*J7-J18</f>
        <v>0</v>
      </c>
      <c r="K23" s="258">
        <f>'[1]SDGE-Cust-Forecast'!$GO$135*K7-K18</f>
        <v>0</v>
      </c>
      <c r="L23" s="103">
        <f t="shared" ref="L23:L24" si="37">J23+K23</f>
        <v>0</v>
      </c>
      <c r="M23" s="321">
        <f t="shared" ref="M23" si="38">B23+C23+G23</f>
        <v>10.775654484033733</v>
      </c>
      <c r="N23" s="77">
        <f t="shared" ref="N23:N24" si="39">D23+H23+J23</f>
        <v>3.4474775748237749</v>
      </c>
      <c r="O23" s="77">
        <f>E23+K23</f>
        <v>0.15883556278690669</v>
      </c>
      <c r="P23" s="132">
        <f t="shared" ref="P23:P24" si="40">SUM(M23:O23)</f>
        <v>14.381967621644415</v>
      </c>
      <c r="R23" s="210"/>
    </row>
    <row r="24" spans="1:18" ht="13">
      <c r="A24" s="111" t="s">
        <v>62</v>
      </c>
      <c r="B24" s="264"/>
      <c r="C24" s="382"/>
      <c r="D24" s="308">
        <f>('[1]SDGE-Cust-Forecast'!$GO$107+'[1]SDGE-Cust-Forecast'!$GO$111+'[1]SDGE-Cust-Forecast'!$GO$115+'[1]SDGE-Cust-Forecast'!$GO$119+'[1]SDGE-Cust-Forecast'!$GO$123)*D8-D19</f>
        <v>5.7881228845457766E-2</v>
      </c>
      <c r="E24" s="309">
        <f>('[1]SDGE-Cust-Forecast'!$GO$107+'[1]SDGE-Cust-Forecast'!$GO$111+'[1]SDGE-Cust-Forecast'!$GO$115+'[1]SDGE-Cust-Forecast'!$GO$119+'[1]SDGE-Cust-Forecast'!$GO$123)*E8-E19</f>
        <v>1.781192389864561E-2</v>
      </c>
      <c r="F24" s="311">
        <f t="shared" si="35"/>
        <v>7.5693152744103376E-2</v>
      </c>
      <c r="G24" s="274"/>
      <c r="H24" s="258"/>
      <c r="I24" s="103"/>
      <c r="J24" s="274"/>
      <c r="K24" s="258">
        <f>'[1]SDGE-Cust-Forecast'!$GO$135*K8-K19</f>
        <v>0</v>
      </c>
      <c r="L24" s="103">
        <f t="shared" si="37"/>
        <v>0</v>
      </c>
      <c r="M24" s="383"/>
      <c r="N24" s="77">
        <f t="shared" si="39"/>
        <v>5.7881228845457766E-2</v>
      </c>
      <c r="O24" s="77">
        <f>E24+K24</f>
        <v>1.781192389864561E-2</v>
      </c>
      <c r="P24" s="132">
        <f t="shared" si="40"/>
        <v>7.5693152744103376E-2</v>
      </c>
      <c r="R24" s="210"/>
    </row>
    <row r="25" spans="1:18" ht="13">
      <c r="A25" s="111"/>
      <c r="B25" s="264"/>
      <c r="C25" s="274"/>
      <c r="D25" s="258"/>
      <c r="E25" s="258"/>
      <c r="F25" s="264"/>
      <c r="G25" s="274"/>
      <c r="H25" s="258"/>
      <c r="I25" s="264"/>
      <c r="J25" s="274"/>
      <c r="K25" s="258"/>
      <c r="L25" s="264"/>
      <c r="M25" s="321"/>
      <c r="N25" s="143"/>
      <c r="O25" s="143"/>
      <c r="P25" s="133"/>
      <c r="R25" s="210"/>
    </row>
    <row r="26" spans="1:18" ht="13">
      <c r="A26" s="111" t="s">
        <v>106</v>
      </c>
      <c r="B26" s="103">
        <f t="shared" ref="B26" si="41">B27+B28+B29</f>
        <v>0</v>
      </c>
      <c r="C26" s="178">
        <f t="shared" ref="C26" si="42">C27+C28+C29</f>
        <v>232.45861238561235</v>
      </c>
      <c r="D26" s="102">
        <f t="shared" ref="D26" si="43">D27+D28+D29</f>
        <v>4.2761451166724385</v>
      </c>
      <c r="E26" s="310">
        <f t="shared" ref="E26" si="44">E27+E28+E29</f>
        <v>0.26524249771717945</v>
      </c>
      <c r="F26" s="103">
        <f>C26+D26+E26</f>
        <v>237.00000000000196</v>
      </c>
      <c r="G26" s="178">
        <f t="shared" ref="G26" si="45">G27+G28+G29</f>
        <v>45.700082278230063</v>
      </c>
      <c r="H26" s="102">
        <f t="shared" ref="H26" si="46">H27+H28+H29</f>
        <v>0.29991772176996667</v>
      </c>
      <c r="I26" s="103">
        <f>G26+H26</f>
        <v>46.000000000000028</v>
      </c>
      <c r="J26" s="178">
        <f t="shared" ref="J26" si="47">J27+J28+J29</f>
        <v>0</v>
      </c>
      <c r="K26" s="102">
        <f t="shared" ref="K26" si="48">K27+K28+K29</f>
        <v>0</v>
      </c>
      <c r="L26" s="103">
        <f>J26+K26</f>
        <v>0</v>
      </c>
      <c r="M26" s="178">
        <f t="shared" ref="M26" si="49">M27+M28+M29</f>
        <v>278.15869466384243</v>
      </c>
      <c r="N26" s="102">
        <f t="shared" ref="N26" si="50">N27+N28+N29</f>
        <v>4.5760628384424056</v>
      </c>
      <c r="O26" s="102">
        <f t="shared" ref="O26" si="51">O27+O28+O29</f>
        <v>0.26524249771717945</v>
      </c>
      <c r="P26" s="103">
        <f t="shared" ref="P26" si="52">P27+P28+P29</f>
        <v>283.00000000000199</v>
      </c>
      <c r="R26" s="210"/>
    </row>
    <row r="27" spans="1:18" ht="13">
      <c r="A27" s="111" t="s">
        <v>60</v>
      </c>
      <c r="B27" s="264">
        <f>'[1]SDGE-Cust-Forecast'!$HA$127*B6-B22-B17</f>
        <v>0</v>
      </c>
      <c r="C27" s="274">
        <f>('[1]SDGE-Cust-Forecast'!$HA$107+'[1]SDGE-Cust-Forecast'!$HA$111+'[1]SDGE-Cust-Forecast'!$HA$115+'[1]SDGE-Cust-Forecast'!$HA$119+'[1]SDGE-Cust-Forecast'!$HA$123)*C6-C22-C17</f>
        <v>225.79794474610026</v>
      </c>
      <c r="D27" s="258">
        <f>('[1]SDGE-Cust-Forecast'!$HA$107+'[1]SDGE-Cust-Forecast'!$HA$111+'[1]SDGE-Cust-Forecast'!$HA$115+'[1]SDGE-Cust-Forecast'!$HA$119+'[1]SDGE-Cust-Forecast'!$HA$123)*D6-D22-D17</f>
        <v>1.768413460348313</v>
      </c>
      <c r="E27" s="308">
        <f>('[1]SDGE-Cust-Forecast'!$HA$107+'[1]SDGE-Cust-Forecast'!$HA$111+'[1]SDGE-Cust-Forecast'!$HA$115+'[1]SDGE-Cust-Forecast'!$HA$119+'[1]SDGE-Cust-Forecast'!$HA$123)*E6-E22-E17</f>
        <v>0.1314870525271612</v>
      </c>
      <c r="F27" s="103">
        <f t="shared" ref="F27:F29" si="53">C27+D27+E27</f>
        <v>227.69784525897572</v>
      </c>
      <c r="G27" s="274">
        <f>'[1]SDGE-Cust-Forecast'!$HA$131*G6-G22-G17</f>
        <v>43.721005731611001</v>
      </c>
      <c r="H27" s="258">
        <f>'[1]SDGE-Cust-Forecast'!$HA$131*H6-H22-H17</f>
        <v>0.10645768784526277</v>
      </c>
      <c r="I27" s="103">
        <f t="shared" ref="I27:I28" si="54">G27+H27</f>
        <v>43.827463419456265</v>
      </c>
      <c r="J27" s="274"/>
      <c r="K27" s="258"/>
      <c r="L27" s="103">
        <f t="shared" ref="L27:L29" si="55">J27+K27</f>
        <v>0</v>
      </c>
      <c r="M27" s="321">
        <f>B27+C27+G27</f>
        <v>269.51895047771126</v>
      </c>
      <c r="N27" s="77">
        <f>D27+H27+J27</f>
        <v>1.8748711481935758</v>
      </c>
      <c r="O27" s="77">
        <f>E27+K27</f>
        <v>0.1314870525271612</v>
      </c>
      <c r="P27" s="132">
        <f>SUM(M27:O27)</f>
        <v>271.525308678432</v>
      </c>
      <c r="R27" s="210"/>
    </row>
    <row r="28" spans="1:18" ht="13">
      <c r="A28" s="111" t="s">
        <v>61</v>
      </c>
      <c r="B28" s="264"/>
      <c r="C28" s="274">
        <f>('[1]SDGE-Cust-Forecast'!$HA$107+'[1]SDGE-Cust-Forecast'!$HA$111+'[1]SDGE-Cust-Forecast'!$HA$115+'[1]SDGE-Cust-Forecast'!$HA$119+'[1]SDGE-Cust-Forecast'!$HA$123)*C7-C23-C18</f>
        <v>6.6606676395120985</v>
      </c>
      <c r="D28" s="258">
        <f>('[1]SDGE-Cust-Forecast'!$HA$107+'[1]SDGE-Cust-Forecast'!$HA$111+'[1]SDGE-Cust-Forecast'!$HA$115+'[1]SDGE-Cust-Forecast'!$HA$119+'[1]SDGE-Cust-Forecast'!$HA$123)*D7-D23-D18</f>
        <v>2.463904655568939</v>
      </c>
      <c r="E28" s="308">
        <f>('[1]SDGE-Cust-Forecast'!$HA$107+'[1]SDGE-Cust-Forecast'!$HA$111+'[1]SDGE-Cust-Forecast'!$HA$115+'[1]SDGE-Cust-Forecast'!$HA$119+'[1]SDGE-Cust-Forecast'!$HA$123)*E7-E23-E18</f>
        <v>0.12026846127954194</v>
      </c>
      <c r="F28" s="103">
        <f t="shared" si="53"/>
        <v>9.2448407563605794</v>
      </c>
      <c r="G28" s="274">
        <f>'[1]SDGE-Cust-Forecast'!$HA$131*G7-G23-G18</f>
        <v>1.9790765466190621</v>
      </c>
      <c r="H28" s="258">
        <f>'[1]SDGE-Cust-Forecast'!$HA$131*H7-H23-H18</f>
        <v>0.1934600339247039</v>
      </c>
      <c r="I28" s="103">
        <f t="shared" si="54"/>
        <v>2.172536580543766</v>
      </c>
      <c r="J28" s="274">
        <f>'[1]SDGE-Cust-Forecast'!$HA$135*J7-J23-J18</f>
        <v>0</v>
      </c>
      <c r="K28" s="258">
        <f>'[1]SDGE-Cust-Forecast'!$HA$135*K7-K23-K18</f>
        <v>0</v>
      </c>
      <c r="L28" s="103">
        <f t="shared" si="55"/>
        <v>0</v>
      </c>
      <c r="M28" s="321">
        <f t="shared" ref="M28" si="56">B28+C28+G28</f>
        <v>8.6397441861311606</v>
      </c>
      <c r="N28" s="77">
        <f t="shared" ref="N28:N29" si="57">D28+H28+J28</f>
        <v>2.6573646894936429</v>
      </c>
      <c r="O28" s="77">
        <f>E28+K28</f>
        <v>0.12026846127954194</v>
      </c>
      <c r="P28" s="132">
        <f t="shared" ref="P28:P29" si="58">SUM(M28:O28)</f>
        <v>11.417377336904346</v>
      </c>
      <c r="R28" s="210"/>
    </row>
    <row r="29" spans="1:18" ht="13">
      <c r="A29" s="111" t="s">
        <v>62</v>
      </c>
      <c r="B29" s="264"/>
      <c r="C29" s="274"/>
      <c r="D29" s="309">
        <f>('[1]SDGE-Cust-Forecast'!$HA$107+'[1]SDGE-Cust-Forecast'!$HA$111+'[1]SDGE-Cust-Forecast'!$HA$115+'[1]SDGE-Cust-Forecast'!$HA$119+'[1]SDGE-Cust-Forecast'!$HA$123)*D8-D24-D19</f>
        <v>4.3827000755186418E-2</v>
      </c>
      <c r="E29" s="309">
        <f>('[1]SDGE-Cust-Forecast'!$HA$107+'[1]SDGE-Cust-Forecast'!$HA$111+'[1]SDGE-Cust-Forecast'!$HA$115+'[1]SDGE-Cust-Forecast'!$HA$119+'[1]SDGE-Cust-Forecast'!$HA$123)*E8-E24-E19</f>
        <v>1.3486983910476313E-2</v>
      </c>
      <c r="F29" s="311">
        <f t="shared" si="53"/>
        <v>5.7313984665662732E-2</v>
      </c>
      <c r="G29" s="274"/>
      <c r="H29" s="258"/>
      <c r="I29" s="103"/>
      <c r="J29" s="274"/>
      <c r="K29" s="258">
        <f>'[1]SDGE-Cust-Forecast'!$HA$135*K8-K24-K19</f>
        <v>0</v>
      </c>
      <c r="L29" s="103">
        <f t="shared" si="55"/>
        <v>0</v>
      </c>
      <c r="M29" s="366"/>
      <c r="N29" s="364">
        <f t="shared" si="57"/>
        <v>4.3827000755186418E-2</v>
      </c>
      <c r="O29" s="77">
        <f>E29+K29</f>
        <v>1.3486983910476313E-2</v>
      </c>
      <c r="P29" s="132">
        <f t="shared" si="58"/>
        <v>5.7313984665662732E-2</v>
      </c>
      <c r="R29" s="210"/>
    </row>
    <row r="30" spans="1:18" ht="13">
      <c r="A30" s="111"/>
      <c r="B30" s="264"/>
      <c r="C30" s="274"/>
      <c r="D30" s="258"/>
      <c r="E30" s="258"/>
      <c r="F30" s="370"/>
      <c r="G30" s="274"/>
      <c r="H30" s="258"/>
      <c r="I30" s="264"/>
      <c r="J30" s="274"/>
      <c r="K30" s="258"/>
      <c r="L30" s="264"/>
      <c r="M30" s="321"/>
      <c r="N30" s="143"/>
      <c r="O30" s="143"/>
      <c r="P30" s="133"/>
      <c r="R30" s="210"/>
    </row>
    <row r="31" spans="1:18" ht="13">
      <c r="A31" s="111" t="s">
        <v>107</v>
      </c>
      <c r="B31" s="103">
        <f t="shared" ref="B31" si="59">B32+B33+B34</f>
        <v>0</v>
      </c>
      <c r="C31" s="178">
        <f t="shared" ref="C31" si="60">C32+C33+C34</f>
        <v>496.30404163341393</v>
      </c>
      <c r="D31" s="102">
        <f t="shared" ref="D31" si="61">D32+D33+D34</f>
        <v>9.1296600381276729</v>
      </c>
      <c r="E31" s="310">
        <f t="shared" ref="E31" si="62">E32+E33+E34</f>
        <v>0.56629832845946471</v>
      </c>
      <c r="F31" s="103">
        <f>C31+D31+E31</f>
        <v>506.00000000000108</v>
      </c>
      <c r="G31" s="178">
        <f t="shared" ref="G31" si="63">G32+G33+G34</f>
        <v>45.700082278229957</v>
      </c>
      <c r="H31" s="102">
        <f t="shared" ref="H31" si="64">H32+H33+H34</f>
        <v>0.29991772176996712</v>
      </c>
      <c r="I31" s="103">
        <f>G31+H31</f>
        <v>45.999999999999922</v>
      </c>
      <c r="J31" s="178">
        <f t="shared" ref="J31" si="65">J32+J33+J34</f>
        <v>0</v>
      </c>
      <c r="K31" s="102">
        <f t="shared" ref="K31" si="66">K32+K33+K34</f>
        <v>0</v>
      </c>
      <c r="L31" s="103">
        <f>J31+K31</f>
        <v>0</v>
      </c>
      <c r="M31" s="178">
        <f t="shared" ref="M31" si="67">M32+M33+M34</f>
        <v>542.00412391164377</v>
      </c>
      <c r="N31" s="102">
        <f t="shared" ref="N31" si="68">N32+N33+N34</f>
        <v>9.42957775989764</v>
      </c>
      <c r="O31" s="102">
        <f t="shared" ref="O31" si="69">O32+O33+O34</f>
        <v>0.56629832845946471</v>
      </c>
      <c r="P31" s="103">
        <f t="shared" ref="P31" si="70">P32+P33+P34</f>
        <v>552.00000000000091</v>
      </c>
      <c r="R31" s="210"/>
    </row>
    <row r="32" spans="1:18" ht="13">
      <c r="A32" s="111" t="s">
        <v>60</v>
      </c>
      <c r="B32" s="264">
        <f>'[1]SDGE-Cust-Forecast'!$HM$127*B6-B27-B22-B17</f>
        <v>0</v>
      </c>
      <c r="C32" s="274">
        <f>('[1]SDGE-Cust-Forecast'!$HM$107+'[1]SDGE-Cust-Forecast'!$HM$111+'[1]SDGE-Cust-Forecast'!$HM$115+'[1]SDGE-Cust-Forecast'!$HM$119+'[1]SDGE-Cust-Forecast'!$HM$123)*C6-C27-C22-C17</f>
        <v>482.08337570264121</v>
      </c>
      <c r="D32" s="258">
        <f>('[1]SDGE-Cust-Forecast'!$HM$107+'[1]SDGE-Cust-Forecast'!$HM$111+'[1]SDGE-Cust-Forecast'!$HM$115+'[1]SDGE-Cust-Forecast'!$HM$119+'[1]SDGE-Cust-Forecast'!$HM$123)*D6-D27-D22-D17</f>
        <v>3.7756000461445183</v>
      </c>
      <c r="E32" s="308">
        <f>('[1]SDGE-Cust-Forecast'!$HM$107+'[1]SDGE-Cust-Forecast'!$HM$111+'[1]SDGE-Cust-Forecast'!$HM$115+'[1]SDGE-Cust-Forecast'!$HM$119+'[1]SDGE-Cust-Forecast'!$HM$123)*E6-E27-E22-E17</f>
        <v>0.28072763113394039</v>
      </c>
      <c r="F32" s="103">
        <f t="shared" ref="F32:F34" si="71">C32+D32+E32</f>
        <v>486.13970337991964</v>
      </c>
      <c r="G32" s="274">
        <f>'[1]SDGE-Cust-Forecast'!$HM$131*G6-G27-G22-G17</f>
        <v>43.721005731610887</v>
      </c>
      <c r="H32" s="258">
        <f>'[1]SDGE-Cust-Forecast'!$HM$131*H6-H27-H22-H17</f>
        <v>0.10645768784526277</v>
      </c>
      <c r="I32" s="103">
        <f t="shared" ref="I32:I33" si="72">G32+H32</f>
        <v>43.827463419456151</v>
      </c>
      <c r="J32" s="274"/>
      <c r="K32" s="258"/>
      <c r="L32" s="103"/>
      <c r="M32" s="321">
        <f>B32+C32+G32</f>
        <v>525.80438143425204</v>
      </c>
      <c r="N32" s="77">
        <f>D32+H32+J32</f>
        <v>3.882057733989781</v>
      </c>
      <c r="O32" s="77">
        <f>E32+K32</f>
        <v>0.28072763113394039</v>
      </c>
      <c r="P32" s="132">
        <f>SUM(M32:O32)</f>
        <v>529.96716679937572</v>
      </c>
      <c r="R32" s="210"/>
    </row>
    <row r="33" spans="1:18" ht="13">
      <c r="A33" s="111" t="s">
        <v>61</v>
      </c>
      <c r="B33" s="264"/>
      <c r="C33" s="274">
        <f>('[1]SDGE-Cust-Forecast'!$HM$107+'[1]SDGE-Cust-Forecast'!$HM$111+'[1]SDGE-Cust-Forecast'!$HM$115+'[1]SDGE-Cust-Forecast'!$HM$119+'[1]SDGE-Cust-Forecast'!$HM$123)*C7-C28-C23-C18</f>
        <v>14.220665930772725</v>
      </c>
      <c r="D33" s="258">
        <f>('[1]SDGE-Cust-Forecast'!$HM$107+'[1]SDGE-Cust-Forecast'!$HM$111+'[1]SDGE-Cust-Forecast'!$HM$115+'[1]SDGE-Cust-Forecast'!$HM$119+'[1]SDGE-Cust-Forecast'!$HM$123)*D7-D28-D23-D18</f>
        <v>5.260488420750562</v>
      </c>
      <c r="E33" s="308">
        <f>('[1]SDGE-Cust-Forecast'!$HM$107+'[1]SDGE-Cust-Forecast'!$HM$111+'[1]SDGE-Cust-Forecast'!$HM$115+'[1]SDGE-Cust-Forecast'!$HM$119+'[1]SDGE-Cust-Forecast'!$HM$123)*E7-E28-E23-E18</f>
        <v>0.2567757021411321</v>
      </c>
      <c r="F33" s="103">
        <f t="shared" si="71"/>
        <v>19.737930053664421</v>
      </c>
      <c r="G33" s="274">
        <f>'[1]SDGE-Cust-Forecast'!$HM$131*G7-G28-G23-G18</f>
        <v>1.9790765466190656</v>
      </c>
      <c r="H33" s="258">
        <f>'[1]SDGE-Cust-Forecast'!$HM$131*H7-H28-H23-H18</f>
        <v>0.19346003392470434</v>
      </c>
      <c r="I33" s="103">
        <f t="shared" si="72"/>
        <v>2.17253658054377</v>
      </c>
      <c r="J33" s="274">
        <f>'[1]SDGE-Cust-Forecast'!$HM$135*J7-J28-J23-J18</f>
        <v>0</v>
      </c>
      <c r="K33" s="258">
        <f>'[1]SDGE-Cust-Forecast'!$HM$135*K7-K28-K23-K18</f>
        <v>0</v>
      </c>
      <c r="L33" s="103">
        <f t="shared" ref="L33:L34" si="73">J33+K33</f>
        <v>0</v>
      </c>
      <c r="M33" s="321">
        <f t="shared" ref="M33" si="74">B33+C33+G33</f>
        <v>16.199742477391791</v>
      </c>
      <c r="N33" s="77">
        <f t="shared" ref="N33:N34" si="75">D33+H33+J33</f>
        <v>5.4539484546752668</v>
      </c>
      <c r="O33" s="77">
        <f>E33+K33</f>
        <v>0.2567757021411321</v>
      </c>
      <c r="P33" s="132">
        <f t="shared" ref="P33:P34" si="76">SUM(M33:O33)</f>
        <v>21.910466634208191</v>
      </c>
      <c r="R33" s="210"/>
    </row>
    <row r="34" spans="1:18" ht="13">
      <c r="A34" s="111" t="s">
        <v>62</v>
      </c>
      <c r="B34" s="264"/>
      <c r="C34" s="274">
        <f>('[1]SDGE-Cust-Forecast'!$HM$107+'[1]SDGE-Cust-Forecast'!$HM$111+'[1]SDGE-Cust-Forecast'!$HM$115+'[1]SDGE-Cust-Forecast'!$HM$119+'[1]SDGE-Cust-Forecast'!$HM$123)*C8-C29-C24-C19</f>
        <v>0</v>
      </c>
      <c r="D34" s="308">
        <f>('[1]SDGE-Cust-Forecast'!$HM$107+'[1]SDGE-Cust-Forecast'!$HM$111+'[1]SDGE-Cust-Forecast'!$HM$115+'[1]SDGE-Cust-Forecast'!$HM$119+'[1]SDGE-Cust-Forecast'!$HM$123)*D8-D29-D24-D19</f>
        <v>9.3571571232592632E-2</v>
      </c>
      <c r="E34" s="309">
        <f>('[1]SDGE-Cust-Forecast'!$HM$107+'[1]SDGE-Cust-Forecast'!$HM$111+'[1]SDGE-Cust-Forecast'!$HM$115+'[1]SDGE-Cust-Forecast'!$HM$119+'[1]SDGE-Cust-Forecast'!$HM$123)*E8-E29-E24-E19</f>
        <v>2.8794995184392214E-2</v>
      </c>
      <c r="F34" s="311">
        <f t="shared" si="71"/>
        <v>0.12236656641698485</v>
      </c>
      <c r="G34" s="274"/>
      <c r="H34" s="258"/>
      <c r="I34" s="103"/>
      <c r="J34" s="274"/>
      <c r="K34" s="258">
        <f>'[1]SDGE-Cust-Forecast'!$HM$135*K8-K29-K24-K19</f>
        <v>0</v>
      </c>
      <c r="L34" s="103">
        <f t="shared" si="73"/>
        <v>0</v>
      </c>
      <c r="M34" s="321"/>
      <c r="N34" s="364">
        <f t="shared" si="75"/>
        <v>9.3571571232592632E-2</v>
      </c>
      <c r="O34" s="77">
        <f>E34+K34</f>
        <v>2.8794995184392214E-2</v>
      </c>
      <c r="P34" s="132">
        <f t="shared" si="76"/>
        <v>0.12236656641698485</v>
      </c>
      <c r="R34" s="210"/>
    </row>
    <row r="35" spans="1:18" ht="13">
      <c r="A35" s="111"/>
      <c r="B35" s="78"/>
      <c r="C35" s="275"/>
      <c r="D35" s="83"/>
      <c r="E35" s="83"/>
      <c r="F35" s="78"/>
      <c r="G35" s="275"/>
      <c r="H35" s="83"/>
      <c r="I35" s="78"/>
      <c r="J35" s="275"/>
      <c r="K35" s="83"/>
      <c r="L35" s="78"/>
      <c r="M35" s="321"/>
      <c r="N35" s="143"/>
      <c r="O35" s="143"/>
      <c r="P35" s="133"/>
      <c r="R35" s="210"/>
    </row>
    <row r="36" spans="1:18" ht="13">
      <c r="A36" s="111" t="s">
        <v>115</v>
      </c>
      <c r="B36" s="103">
        <f t="shared" ref="B36" si="77">B37+B38+B39</f>
        <v>0</v>
      </c>
      <c r="C36" s="178">
        <f t="shared" ref="C36" si="78">C37+C38+C39</f>
        <v>345</v>
      </c>
      <c r="D36" s="102">
        <f t="shared" ref="D36" si="79">D37+D38+D39</f>
        <v>7</v>
      </c>
      <c r="E36" s="102">
        <f t="shared" ref="E36" si="80">E37+E38+E39</f>
        <v>0</v>
      </c>
      <c r="F36" s="103">
        <f>C36+D36+E36</f>
        <v>352</v>
      </c>
      <c r="G36" s="178">
        <f t="shared" ref="G36" si="81">G37+G38+G39</f>
        <v>46</v>
      </c>
      <c r="H36" s="102">
        <f t="shared" ref="H36" si="82">H37+H38+H39</f>
        <v>0</v>
      </c>
      <c r="I36" s="103">
        <f>G36+H36</f>
        <v>46</v>
      </c>
      <c r="J36" s="178">
        <f t="shared" ref="J36" si="83">J37+J38+J39</f>
        <v>0</v>
      </c>
      <c r="K36" s="102">
        <f t="shared" ref="K36" si="84">K37+K38+K39</f>
        <v>0</v>
      </c>
      <c r="L36" s="103">
        <f>J36+K36</f>
        <v>0</v>
      </c>
      <c r="M36" s="178">
        <f t="shared" ref="M36" si="85">M37+M38+M39</f>
        <v>391</v>
      </c>
      <c r="N36" s="102">
        <f t="shared" ref="N36" si="86">N37+N38+N39</f>
        <v>7</v>
      </c>
      <c r="O36" s="102">
        <f t="shared" ref="O36" si="87">O37+O38+O39</f>
        <v>0</v>
      </c>
      <c r="P36" s="103">
        <f t="shared" ref="P36" si="88">P37+P38+P39</f>
        <v>398</v>
      </c>
      <c r="R36" s="210"/>
    </row>
    <row r="37" spans="1:18" ht="13">
      <c r="A37" s="111" t="s">
        <v>60</v>
      </c>
      <c r="B37" s="78">
        <f t="shared" ref="B37:H37" si="89">ROUND(AVERAGE(B22,B27,B32),0)</f>
        <v>0</v>
      </c>
      <c r="C37" s="275">
        <f t="shared" si="89"/>
        <v>335</v>
      </c>
      <c r="D37" s="83">
        <f t="shared" si="89"/>
        <v>3</v>
      </c>
      <c r="E37" s="83">
        <f t="shared" si="89"/>
        <v>0</v>
      </c>
      <c r="F37" s="103">
        <f t="shared" ref="F37:F39" si="90">C37+D37+E37</f>
        <v>338</v>
      </c>
      <c r="G37" s="275">
        <f t="shared" si="89"/>
        <v>44</v>
      </c>
      <c r="H37" s="83">
        <f t="shared" si="89"/>
        <v>0</v>
      </c>
      <c r="I37" s="103">
        <f t="shared" ref="I37:I38" si="91">G37+H37</f>
        <v>44</v>
      </c>
      <c r="J37" s="275"/>
      <c r="K37" s="83"/>
      <c r="L37" s="103"/>
      <c r="M37" s="321">
        <f>B37+C37+G37</f>
        <v>379</v>
      </c>
      <c r="N37" s="77">
        <f>D37+H37+J37</f>
        <v>3</v>
      </c>
      <c r="O37" s="77">
        <f>E37+K37</f>
        <v>0</v>
      </c>
      <c r="P37" s="132">
        <f>SUM(M37:O37)</f>
        <v>382</v>
      </c>
      <c r="R37" s="210"/>
    </row>
    <row r="38" spans="1:18" ht="13">
      <c r="A38" s="111" t="s">
        <v>61</v>
      </c>
      <c r="B38" s="78"/>
      <c r="C38" s="275">
        <f t="shared" ref="C38:K39" si="92">ROUND(AVERAGE(C23,C28,C33),0)</f>
        <v>10</v>
      </c>
      <c r="D38" s="83">
        <f t="shared" si="92"/>
        <v>4</v>
      </c>
      <c r="E38" s="83">
        <f t="shared" si="92"/>
        <v>0</v>
      </c>
      <c r="F38" s="103">
        <f t="shared" si="90"/>
        <v>14</v>
      </c>
      <c r="G38" s="275">
        <f t="shared" si="92"/>
        <v>2</v>
      </c>
      <c r="H38" s="83">
        <f t="shared" si="92"/>
        <v>0</v>
      </c>
      <c r="I38" s="103">
        <f t="shared" si="91"/>
        <v>2</v>
      </c>
      <c r="J38" s="275">
        <f t="shared" si="92"/>
        <v>0</v>
      </c>
      <c r="K38" s="83">
        <f t="shared" si="92"/>
        <v>0</v>
      </c>
      <c r="L38" s="103">
        <f t="shared" ref="L38:L39" si="93">J38+K38</f>
        <v>0</v>
      </c>
      <c r="M38" s="321">
        <f t="shared" ref="M38" si="94">B38+C38+G38</f>
        <v>12</v>
      </c>
      <c r="N38" s="77">
        <f t="shared" ref="N38:N39" si="95">D38+H38+J38</f>
        <v>4</v>
      </c>
      <c r="O38" s="77">
        <f>E38+K38</f>
        <v>0</v>
      </c>
      <c r="P38" s="132">
        <f t="shared" ref="P38:P39" si="96">SUM(M38:O38)</f>
        <v>16</v>
      </c>
      <c r="R38" s="210"/>
    </row>
    <row r="39" spans="1:18" ht="13">
      <c r="A39" s="111" t="s">
        <v>62</v>
      </c>
      <c r="B39" s="78"/>
      <c r="C39" s="275"/>
      <c r="D39" s="83">
        <f t="shared" si="92"/>
        <v>0</v>
      </c>
      <c r="E39" s="83">
        <f t="shared" si="92"/>
        <v>0</v>
      </c>
      <c r="F39" s="103">
        <f t="shared" si="90"/>
        <v>0</v>
      </c>
      <c r="G39" s="275"/>
      <c r="H39" s="83"/>
      <c r="I39" s="103"/>
      <c r="J39" s="275"/>
      <c r="K39" s="83">
        <f t="shared" si="92"/>
        <v>0</v>
      </c>
      <c r="L39" s="103">
        <f t="shared" si="93"/>
        <v>0</v>
      </c>
      <c r="M39" s="365"/>
      <c r="N39" s="77">
        <f t="shared" si="95"/>
        <v>0</v>
      </c>
      <c r="O39" s="77">
        <f>E39+K39</f>
        <v>0</v>
      </c>
      <c r="P39" s="132">
        <f t="shared" si="96"/>
        <v>0</v>
      </c>
      <c r="R39" s="210"/>
    </row>
    <row r="40" spans="1:18" ht="13">
      <c r="A40" s="111"/>
      <c r="B40" s="78"/>
      <c r="C40" s="275"/>
      <c r="D40" s="83"/>
      <c r="E40" s="83"/>
      <c r="F40" s="78"/>
      <c r="G40" s="275"/>
      <c r="H40" s="83"/>
      <c r="I40" s="78"/>
      <c r="J40" s="275"/>
      <c r="K40" s="83"/>
      <c r="L40" s="78"/>
      <c r="M40" s="321"/>
      <c r="N40" s="143"/>
      <c r="O40" s="143"/>
      <c r="P40" s="133"/>
      <c r="R40" s="210"/>
    </row>
    <row r="41" spans="1:18" ht="13">
      <c r="A41" s="111" t="s">
        <v>75</v>
      </c>
      <c r="B41" s="102">
        <f>B42+B43+B44</f>
        <v>0</v>
      </c>
      <c r="C41" s="178">
        <f t="shared" ref="C41" si="97">C42+C43+C44</f>
        <v>345</v>
      </c>
      <c r="D41" s="102">
        <f t="shared" ref="D41" si="98">D42+D43+D44</f>
        <v>7</v>
      </c>
      <c r="E41" s="83">
        <f>IF(E36&lt;0,0,E36)</f>
        <v>0</v>
      </c>
      <c r="F41" s="103">
        <f>C41+D41+E41</f>
        <v>352</v>
      </c>
      <c r="G41" s="178">
        <f t="shared" ref="G41:H41" si="99">G42+G43+G44</f>
        <v>46</v>
      </c>
      <c r="H41" s="102">
        <f t="shared" si="99"/>
        <v>0</v>
      </c>
      <c r="I41" s="103">
        <f>G41+H41</f>
        <v>46</v>
      </c>
      <c r="J41" s="178">
        <f t="shared" ref="J41" si="100">J42+J43+J44</f>
        <v>0</v>
      </c>
      <c r="K41" s="83">
        <f>IF(K36&lt;0,0,K36)</f>
        <v>0</v>
      </c>
      <c r="L41" s="103">
        <f>J41+K41</f>
        <v>0</v>
      </c>
      <c r="M41" s="178">
        <f t="shared" ref="M41" si="101">M42+M43+M44</f>
        <v>391</v>
      </c>
      <c r="N41" s="102">
        <f t="shared" ref="N41" si="102">N42+N43+N44</f>
        <v>7</v>
      </c>
      <c r="O41" s="102">
        <f t="shared" ref="O41" si="103">O42+O43+O44</f>
        <v>0</v>
      </c>
      <c r="P41" s="132">
        <f>SUM(M41:O41)</f>
        <v>398</v>
      </c>
      <c r="R41" s="210"/>
    </row>
    <row r="42" spans="1:18" ht="13">
      <c r="A42" s="111" t="s">
        <v>60</v>
      </c>
      <c r="B42" s="78">
        <f>IF(B37&lt;0,0,B37)</f>
        <v>0</v>
      </c>
      <c r="C42" s="83">
        <f>IF(C37&lt;0,0,C37)</f>
        <v>335</v>
      </c>
      <c r="D42" s="83">
        <f t="shared" ref="D42:E42" si="104">IF(D37&lt;0,0,D37)</f>
        <v>3</v>
      </c>
      <c r="E42" s="83">
        <f t="shared" si="104"/>
        <v>0</v>
      </c>
      <c r="F42" s="103">
        <f t="shared" ref="F42:F43" si="105">C42+D42+E42</f>
        <v>338</v>
      </c>
      <c r="G42" s="83">
        <f>IF(G37&lt;0,0,G37)</f>
        <v>44</v>
      </c>
      <c r="H42" s="83">
        <f t="shared" ref="H42" si="106">IF(H37&lt;0,0,H37)</f>
        <v>0</v>
      </c>
      <c r="I42" s="103">
        <f>G42+H42</f>
        <v>44</v>
      </c>
      <c r="J42" s="83">
        <f>IF(J37&lt;0,0,J37)</f>
        <v>0</v>
      </c>
      <c r="K42" s="83">
        <f t="shared" ref="K42" si="107">IF(K37&lt;0,0,K37)</f>
        <v>0</v>
      </c>
      <c r="L42" s="103">
        <f>J42+K42</f>
        <v>0</v>
      </c>
      <c r="M42" s="321">
        <f>B42+C42+G42</f>
        <v>379</v>
      </c>
      <c r="N42" s="77">
        <f>D42+H42+J42</f>
        <v>3</v>
      </c>
      <c r="O42" s="77">
        <f>E42+K42</f>
        <v>0</v>
      </c>
      <c r="P42" s="132">
        <f>SUM(M42:O42)</f>
        <v>382</v>
      </c>
      <c r="R42" s="210"/>
    </row>
    <row r="43" spans="1:18" ht="13">
      <c r="A43" s="111" t="s">
        <v>61</v>
      </c>
      <c r="B43" s="78"/>
      <c r="C43" s="83">
        <f>IF(C38&lt;0,0,C38)</f>
        <v>10</v>
      </c>
      <c r="D43" s="83">
        <f t="shared" ref="D43:E43" si="108">IF(D38&lt;0,0,D38)</f>
        <v>4</v>
      </c>
      <c r="E43" s="83">
        <f t="shared" si="108"/>
        <v>0</v>
      </c>
      <c r="F43" s="103">
        <f t="shared" si="105"/>
        <v>14</v>
      </c>
      <c r="G43" s="83">
        <f>IF(G38&lt;0,0,G38)</f>
        <v>2</v>
      </c>
      <c r="H43" s="83">
        <f t="shared" ref="H43" si="109">IF(H38&lt;0,0,H38)</f>
        <v>0</v>
      </c>
      <c r="I43" s="103">
        <f>G43+H43</f>
        <v>2</v>
      </c>
      <c r="J43" s="83">
        <f>IF(J38&lt;0,0,J38)</f>
        <v>0</v>
      </c>
      <c r="K43" s="83">
        <f t="shared" ref="K43" si="110">IF(K38&lt;0,0,K38)</f>
        <v>0</v>
      </c>
      <c r="L43" s="103">
        <f>J43+K43</f>
        <v>0</v>
      </c>
      <c r="M43" s="321">
        <f>B43+C43+G43</f>
        <v>12</v>
      </c>
      <c r="N43" s="77">
        <f>D43+H43+J43</f>
        <v>4</v>
      </c>
      <c r="O43" s="77">
        <f>E43+K43</f>
        <v>0</v>
      </c>
      <c r="P43" s="132">
        <f t="shared" ref="P43" si="111">SUM(M43:O43)</f>
        <v>16</v>
      </c>
      <c r="R43" s="210"/>
    </row>
    <row r="44" spans="1:18" ht="13">
      <c r="A44" s="111" t="s">
        <v>62</v>
      </c>
      <c r="B44" s="78"/>
      <c r="C44" s="275"/>
      <c r="D44" s="83"/>
      <c r="E44" s="83"/>
      <c r="F44" s="103"/>
      <c r="G44" s="275"/>
      <c r="H44" s="83"/>
      <c r="I44" s="103"/>
      <c r="J44" s="275"/>
      <c r="K44" s="83"/>
      <c r="L44" s="103"/>
      <c r="M44" s="321"/>
      <c r="N44" s="77"/>
      <c r="O44" s="77"/>
      <c r="P44" s="132"/>
      <c r="R44" s="210"/>
    </row>
    <row r="45" spans="1:18" ht="13">
      <c r="A45" s="111"/>
      <c r="B45" s="78"/>
      <c r="C45" s="275"/>
      <c r="D45" s="83"/>
      <c r="E45" s="83"/>
      <c r="F45" s="78"/>
      <c r="G45" s="275"/>
      <c r="H45" s="83"/>
      <c r="I45" s="78"/>
      <c r="J45" s="275"/>
      <c r="K45" s="83"/>
      <c r="L45" s="78"/>
      <c r="M45" s="321"/>
      <c r="N45" s="143"/>
      <c r="O45" s="143"/>
      <c r="P45" s="133"/>
      <c r="R45" s="210"/>
    </row>
    <row r="46" spans="1:18" s="122" customFormat="1" ht="13">
      <c r="A46" s="111" t="s">
        <v>10</v>
      </c>
      <c r="B46" s="141"/>
      <c r="C46" s="139"/>
      <c r="D46" s="140"/>
      <c r="E46" s="140"/>
      <c r="F46" s="142"/>
      <c r="G46" s="139"/>
      <c r="H46" s="269"/>
      <c r="I46" s="141"/>
      <c r="J46" s="139"/>
      <c r="K46" s="140"/>
      <c r="L46" s="142"/>
      <c r="M46" s="321"/>
      <c r="N46" s="149"/>
      <c r="O46" s="149"/>
      <c r="P46" s="154"/>
      <c r="R46" s="210"/>
    </row>
    <row r="47" spans="1:18" ht="13">
      <c r="A47" s="110" t="s">
        <v>142</v>
      </c>
      <c r="B47" s="102">
        <f>B48+B49+B50</f>
        <v>0.6</v>
      </c>
      <c r="C47" s="178">
        <f>C48+C49+C50</f>
        <v>302.07849553806034</v>
      </c>
      <c r="D47" s="102">
        <f>D48+D49+D50</f>
        <v>5.5568235149062373</v>
      </c>
      <c r="E47" s="102">
        <f>E48+E49+E50</f>
        <v>0.34468094703348995</v>
      </c>
      <c r="F47" s="103">
        <f>C47+D47+E47</f>
        <v>307.98000000000008</v>
      </c>
      <c r="G47" s="178">
        <f t="shared" ref="G47:P47" si="112">G48+G49+G50</f>
        <v>6.6761859328196902</v>
      </c>
      <c r="H47" s="102">
        <f t="shared" si="112"/>
        <v>4.3814067180308197E-2</v>
      </c>
      <c r="I47" s="102">
        <f t="shared" si="112"/>
        <v>6.7199999999999989</v>
      </c>
      <c r="J47" s="178">
        <f t="shared" si="112"/>
        <v>0.21742116784730417</v>
      </c>
      <c r="K47" s="102">
        <f t="shared" si="112"/>
        <v>0.12757883215269578</v>
      </c>
      <c r="L47" s="103">
        <f t="shared" si="112"/>
        <v>0.34499999999999992</v>
      </c>
      <c r="M47" s="178">
        <f t="shared" si="112"/>
        <v>309.35468147088005</v>
      </c>
      <c r="N47" s="102">
        <f t="shared" si="112"/>
        <v>5.8180587499338499</v>
      </c>
      <c r="O47" s="102">
        <f t="shared" si="112"/>
        <v>0.47225977918618567</v>
      </c>
      <c r="P47" s="103">
        <f t="shared" si="112"/>
        <v>315.6450000000001</v>
      </c>
      <c r="R47" s="210"/>
    </row>
    <row r="48" spans="1:18" ht="13">
      <c r="A48" s="111" t="s">
        <v>60</v>
      </c>
      <c r="B48" s="78">
        <f>B17*0.015</f>
        <v>0.6</v>
      </c>
      <c r="C48" s="275">
        <f>C17*0.015</f>
        <v>293.42300009663865</v>
      </c>
      <c r="D48" s="83">
        <f>D17*0.015</f>
        <v>2.298042099232382</v>
      </c>
      <c r="E48" s="83">
        <f>E17*0.015</f>
        <v>0.1708665925625113</v>
      </c>
      <c r="F48" s="103">
        <f t="shared" ref="F48:F50" si="113">C48+D48+E48</f>
        <v>295.89190878843351</v>
      </c>
      <c r="G48" s="275">
        <f>G17*0.015</f>
        <v>6.3870686634005578</v>
      </c>
      <c r="H48" s="83">
        <f>H17*0.015</f>
        <v>1.5552079615655766E-2</v>
      </c>
      <c r="I48" s="103">
        <f t="shared" ref="I48:I49" si="114">G48+H48</f>
        <v>6.4026207430162136</v>
      </c>
      <c r="J48" s="275"/>
      <c r="K48" s="83"/>
      <c r="L48" s="103"/>
      <c r="M48" s="321">
        <f>B48+C48+G48</f>
        <v>300.41006876003922</v>
      </c>
      <c r="N48" s="77">
        <f>D48+H48+J48</f>
        <v>2.3135941788480379</v>
      </c>
      <c r="O48" s="77">
        <f>E48+K48</f>
        <v>0.1708665925625113</v>
      </c>
      <c r="P48" s="132">
        <f>SUM(M48:O48)</f>
        <v>302.89452953144979</v>
      </c>
      <c r="R48" s="210"/>
    </row>
    <row r="49" spans="1:18" ht="13">
      <c r="A49" s="111" t="s">
        <v>61</v>
      </c>
      <c r="B49" s="78"/>
      <c r="C49" s="275">
        <f>C18*0.015</f>
        <v>8.6554954414216834</v>
      </c>
      <c r="D49" s="83">
        <f t="shared" ref="D49:E50" si="115">D18*0.015</f>
        <v>3.2018285055785713</v>
      </c>
      <c r="E49" s="83">
        <f t="shared" si="115"/>
        <v>0.15628810423997247</v>
      </c>
      <c r="F49" s="103">
        <f t="shared" si="113"/>
        <v>12.013612051240228</v>
      </c>
      <c r="G49" s="275">
        <f>G18*0.015</f>
        <v>0.28911726941913274</v>
      </c>
      <c r="H49" s="83">
        <f>H18*0.015</f>
        <v>2.8261987564652431E-2</v>
      </c>
      <c r="I49" s="103">
        <f t="shared" si="114"/>
        <v>0.31737925698378516</v>
      </c>
      <c r="J49" s="275">
        <f>J18*0.015</f>
        <v>0.21742116784730417</v>
      </c>
      <c r="K49" s="83">
        <f>K18*0.015</f>
        <v>7.7614251279023994E-2</v>
      </c>
      <c r="L49" s="103">
        <f t="shared" ref="L49:L50" si="116">J49+K49</f>
        <v>0.29503541912632814</v>
      </c>
      <c r="M49" s="321">
        <f>B49+C49+G49</f>
        <v>8.9446127108408167</v>
      </c>
      <c r="N49" s="77">
        <f t="shared" ref="N49:N50" si="117">D49+H49+J49</f>
        <v>3.4475116609905281</v>
      </c>
      <c r="O49" s="77">
        <f>E49+K49</f>
        <v>0.23390235551899646</v>
      </c>
      <c r="P49" s="132">
        <f t="shared" ref="P49:P50" si="118">SUM(M49:O49)</f>
        <v>12.626026727350341</v>
      </c>
      <c r="R49" s="210"/>
    </row>
    <row r="50" spans="1:18" ht="13">
      <c r="A50" s="111" t="s">
        <v>62</v>
      </c>
      <c r="B50" s="78"/>
      <c r="C50" s="275"/>
      <c r="D50" s="83">
        <f t="shared" si="115"/>
        <v>5.6952910095284352E-2</v>
      </c>
      <c r="E50" s="83">
        <f t="shared" si="115"/>
        <v>1.7526250231006155E-2</v>
      </c>
      <c r="F50" s="103">
        <f t="shared" si="113"/>
        <v>7.4479160326290511E-2</v>
      </c>
      <c r="G50" s="275"/>
      <c r="H50" s="83"/>
      <c r="I50" s="103"/>
      <c r="J50" s="275"/>
      <c r="K50" s="83">
        <f>K19*0.015</f>
        <v>4.9964580873671782E-2</v>
      </c>
      <c r="L50" s="103">
        <f t="shared" si="116"/>
        <v>4.9964580873671782E-2</v>
      </c>
      <c r="M50" s="321"/>
      <c r="N50" s="363">
        <f t="shared" si="117"/>
        <v>5.6952910095284352E-2</v>
      </c>
      <c r="O50" s="77">
        <f>E50+K50</f>
        <v>6.7490831104677934E-2</v>
      </c>
      <c r="P50" s="132">
        <f t="shared" si="118"/>
        <v>0.12444374119996229</v>
      </c>
      <c r="R50" s="210"/>
    </row>
    <row r="51" spans="1:18" ht="13">
      <c r="A51" s="111"/>
      <c r="B51" s="141"/>
      <c r="C51" s="139"/>
      <c r="D51" s="140"/>
      <c r="E51" s="140"/>
      <c r="F51" s="142"/>
      <c r="G51" s="139"/>
      <c r="H51" s="269"/>
      <c r="I51" s="141"/>
      <c r="J51" s="139"/>
      <c r="K51" s="140"/>
      <c r="L51" s="142"/>
      <c r="M51" s="321"/>
      <c r="N51" s="143"/>
      <c r="O51" s="143"/>
      <c r="P51" s="133"/>
      <c r="R51" s="210"/>
    </row>
    <row r="52" spans="1:18" s="124" customFormat="1" ht="13">
      <c r="A52" s="152" t="s">
        <v>11</v>
      </c>
      <c r="B52" s="102">
        <f>B53+B54+B55</f>
        <v>0.6</v>
      </c>
      <c r="C52" s="139">
        <f t="shared" ref="C52:P52" si="119">C41+C47</f>
        <v>647.07849553806034</v>
      </c>
      <c r="D52" s="140">
        <f t="shared" si="119"/>
        <v>12.556823514906238</v>
      </c>
      <c r="E52" s="140">
        <f t="shared" si="119"/>
        <v>0.34468094703348995</v>
      </c>
      <c r="F52" s="103">
        <f>C52+D52+E52</f>
        <v>659.98</v>
      </c>
      <c r="G52" s="139">
        <f t="shared" si="119"/>
        <v>52.676185932819692</v>
      </c>
      <c r="H52" s="140">
        <f t="shared" si="119"/>
        <v>4.3814067180308197E-2</v>
      </c>
      <c r="I52" s="103">
        <f>G52+H52</f>
        <v>52.72</v>
      </c>
      <c r="J52" s="139">
        <f t="shared" si="119"/>
        <v>0.21742116784730417</v>
      </c>
      <c r="K52" s="140">
        <f t="shared" si="119"/>
        <v>0.12757883215269578</v>
      </c>
      <c r="L52" s="103">
        <f>J52+K52</f>
        <v>0.34499999999999997</v>
      </c>
      <c r="M52" s="139">
        <f t="shared" si="119"/>
        <v>700.35468147088</v>
      </c>
      <c r="N52" s="140">
        <f t="shared" si="119"/>
        <v>12.818058749933851</v>
      </c>
      <c r="O52" s="140">
        <f t="shared" si="119"/>
        <v>0.47225977918618567</v>
      </c>
      <c r="P52" s="142">
        <f t="shared" si="119"/>
        <v>713.6450000000001</v>
      </c>
      <c r="R52" s="210"/>
    </row>
    <row r="53" spans="1:18" ht="13">
      <c r="A53" s="111" t="s">
        <v>60</v>
      </c>
      <c r="B53" s="142">
        <f t="shared" ref="B53:H53" si="120">B42+B48</f>
        <v>0.6</v>
      </c>
      <c r="C53" s="139">
        <f t="shared" si="120"/>
        <v>628.42300009663859</v>
      </c>
      <c r="D53" s="140">
        <f t="shared" si="120"/>
        <v>5.298042099232382</v>
      </c>
      <c r="E53" s="140">
        <f t="shared" si="120"/>
        <v>0.1708665925625113</v>
      </c>
      <c r="F53" s="103">
        <f t="shared" ref="F53:F55" si="121">C53+D53+E53</f>
        <v>633.89190878843351</v>
      </c>
      <c r="G53" s="139">
        <f t="shared" si="120"/>
        <v>50.387068663400555</v>
      </c>
      <c r="H53" s="140">
        <f t="shared" si="120"/>
        <v>1.5552079615655766E-2</v>
      </c>
      <c r="I53" s="103">
        <f t="shared" ref="I53:I54" si="122">G53+H53</f>
        <v>50.402620743016207</v>
      </c>
      <c r="J53" s="139"/>
      <c r="K53" s="140"/>
      <c r="L53" s="103"/>
      <c r="M53" s="321">
        <f>B53+C53+G53</f>
        <v>679.41006876003917</v>
      </c>
      <c r="N53" s="77">
        <f>D53+H53+J53</f>
        <v>5.3135941788480379</v>
      </c>
      <c r="O53" s="77">
        <f>E53+K53</f>
        <v>0.1708665925625113</v>
      </c>
      <c r="P53" s="132">
        <f>SUM(M53:O53)</f>
        <v>684.89452953144973</v>
      </c>
      <c r="R53" s="210"/>
    </row>
    <row r="54" spans="1:18" ht="13">
      <c r="A54" s="111" t="s">
        <v>61</v>
      </c>
      <c r="B54" s="142"/>
      <c r="C54" s="139">
        <f t="shared" ref="C54:K54" si="123">C43+C49</f>
        <v>18.655495441421685</v>
      </c>
      <c r="D54" s="140">
        <f t="shared" si="123"/>
        <v>7.2018285055785718</v>
      </c>
      <c r="E54" s="140">
        <f t="shared" si="123"/>
        <v>0.15628810423997247</v>
      </c>
      <c r="F54" s="103">
        <f t="shared" si="121"/>
        <v>26.01361205124023</v>
      </c>
      <c r="G54" s="139">
        <f t="shared" si="123"/>
        <v>2.2891172694191328</v>
      </c>
      <c r="H54" s="140">
        <f t="shared" si="123"/>
        <v>2.8261987564652431E-2</v>
      </c>
      <c r="I54" s="103">
        <f t="shared" si="122"/>
        <v>2.3173792569837852</v>
      </c>
      <c r="J54" s="139">
        <f t="shared" si="123"/>
        <v>0.21742116784730417</v>
      </c>
      <c r="K54" s="140">
        <f t="shared" si="123"/>
        <v>7.7614251279023994E-2</v>
      </c>
      <c r="L54" s="103">
        <f t="shared" ref="L54:L55" si="124">J54+K54</f>
        <v>0.29503541912632814</v>
      </c>
      <c r="M54" s="321">
        <f>B54+C54+G54</f>
        <v>20.944612710840818</v>
      </c>
      <c r="N54" s="77">
        <f t="shared" ref="N54:N55" si="125">D54+H54+J54</f>
        <v>7.4475116609905285</v>
      </c>
      <c r="O54" s="77">
        <f>E54+K54</f>
        <v>0.23390235551899646</v>
      </c>
      <c r="P54" s="132">
        <f t="shared" ref="P54:P55" si="126">SUM(M54:O54)</f>
        <v>28.626026727350343</v>
      </c>
      <c r="R54" s="210"/>
    </row>
    <row r="55" spans="1:18" ht="13">
      <c r="A55" s="111" t="s">
        <v>62</v>
      </c>
      <c r="B55" s="142"/>
      <c r="C55" s="139"/>
      <c r="D55" s="140">
        <f t="shared" ref="D55:K55" si="127">D44+D50</f>
        <v>5.6952910095284352E-2</v>
      </c>
      <c r="E55" s="140">
        <f t="shared" si="127"/>
        <v>1.7526250231006155E-2</v>
      </c>
      <c r="F55" s="103">
        <f t="shared" si="121"/>
        <v>7.4479160326290511E-2</v>
      </c>
      <c r="G55" s="139"/>
      <c r="H55" s="140"/>
      <c r="I55" s="103"/>
      <c r="J55" s="139"/>
      <c r="K55" s="140">
        <f t="shared" si="127"/>
        <v>4.9964580873671782E-2</v>
      </c>
      <c r="L55" s="103">
        <f t="shared" si="124"/>
        <v>4.9964580873671782E-2</v>
      </c>
      <c r="M55" s="321"/>
      <c r="N55" s="363">
        <f t="shared" si="125"/>
        <v>5.6952910095284352E-2</v>
      </c>
      <c r="O55" s="77">
        <f>E55+K55</f>
        <v>6.7490831104677934E-2</v>
      </c>
      <c r="P55" s="132">
        <f t="shared" si="126"/>
        <v>0.12444374119996229</v>
      </c>
      <c r="R55" s="210"/>
    </row>
    <row r="56" spans="1:18" ht="13.5" thickBot="1">
      <c r="A56" s="111"/>
      <c r="B56" s="142"/>
      <c r="C56" s="139"/>
      <c r="D56" s="140"/>
      <c r="E56" s="140"/>
      <c r="F56" s="142"/>
      <c r="G56" s="139"/>
      <c r="H56" s="140"/>
      <c r="I56" s="142"/>
      <c r="J56" s="139"/>
      <c r="K56" s="140"/>
      <c r="L56" s="142"/>
      <c r="M56" s="139"/>
      <c r="N56" s="143"/>
      <c r="O56" s="143"/>
      <c r="P56" s="133"/>
    </row>
    <row r="57" spans="1:18" ht="13">
      <c r="A57" s="188"/>
      <c r="B57" s="189"/>
      <c r="C57" s="189"/>
      <c r="D57" s="189"/>
      <c r="E57" s="189"/>
      <c r="F57" s="189"/>
      <c r="G57" s="189"/>
      <c r="H57" s="192"/>
      <c r="I57" s="192"/>
      <c r="J57" s="192"/>
      <c r="K57" s="192"/>
      <c r="L57" s="192"/>
      <c r="M57" s="193"/>
      <c r="N57" s="192"/>
      <c r="O57" s="192"/>
      <c r="P57" s="194"/>
      <c r="Q57" s="98"/>
    </row>
    <row r="58" spans="1:18" ht="13">
      <c r="A58" s="191" t="s">
        <v>74</v>
      </c>
      <c r="B58" s="22"/>
      <c r="C58" s="22"/>
      <c r="D58" s="22"/>
      <c r="E58" s="22"/>
      <c r="F58" s="22"/>
      <c r="G58" s="22"/>
      <c r="H58" s="145"/>
      <c r="I58" s="145"/>
      <c r="J58" s="145"/>
      <c r="K58" s="145"/>
      <c r="L58" s="145"/>
      <c r="M58" s="145"/>
      <c r="N58" s="143"/>
      <c r="O58" s="143"/>
      <c r="P58" s="133"/>
      <c r="Q58" s="98"/>
    </row>
    <row r="59" spans="1:18" ht="13">
      <c r="A59" s="198" t="s">
        <v>109</v>
      </c>
      <c r="B59" s="22"/>
      <c r="C59" s="22"/>
      <c r="D59" s="22"/>
      <c r="E59" s="22"/>
      <c r="F59" s="22"/>
      <c r="G59" s="22"/>
      <c r="H59" s="145"/>
      <c r="I59" s="145"/>
      <c r="J59" s="145"/>
      <c r="K59" s="145"/>
      <c r="L59" s="145"/>
      <c r="M59" s="145"/>
      <c r="N59" s="143"/>
      <c r="O59" s="143"/>
      <c r="P59" s="133"/>
      <c r="Q59" s="98"/>
    </row>
    <row r="60" spans="1:18" ht="13.5" thickBot="1">
      <c r="A60" s="179" t="s">
        <v>112</v>
      </c>
      <c r="B60" s="106"/>
      <c r="C60" s="106"/>
      <c r="D60" s="106"/>
      <c r="E60" s="106"/>
      <c r="F60" s="106"/>
      <c r="G60" s="106"/>
      <c r="H60" s="195"/>
      <c r="I60" s="195"/>
      <c r="J60" s="195"/>
      <c r="K60" s="195"/>
      <c r="L60" s="195"/>
      <c r="M60" s="195"/>
      <c r="N60" s="155"/>
      <c r="O60" s="155"/>
      <c r="P60" s="156"/>
      <c r="Q60" s="98"/>
    </row>
    <row r="61" spans="1:18" ht="13">
      <c r="A61" s="62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3"/>
      <c r="O61" s="143"/>
      <c r="P61" s="143"/>
      <c r="Q61" s="98"/>
    </row>
    <row r="62" spans="1:18" ht="13">
      <c r="A62" s="62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3"/>
      <c r="O62" s="143"/>
      <c r="P62" s="143"/>
      <c r="Q62" s="98"/>
    </row>
    <row r="63" spans="1:18" ht="13">
      <c r="A63" s="63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3"/>
      <c r="O63" s="143"/>
      <c r="P63" s="143"/>
      <c r="Q63" s="98"/>
    </row>
    <row r="64" spans="1:18" ht="13">
      <c r="A64" s="61"/>
      <c r="B64" s="145"/>
      <c r="C64" s="384">
        <f>C42/C11</f>
        <v>1.6963443728923361E-2</v>
      </c>
      <c r="D64" s="384">
        <f t="shared" ref="D64:P64" si="128">D42/D11</f>
        <v>1.9396646138917263E-2</v>
      </c>
      <c r="E64" s="384">
        <f t="shared" si="128"/>
        <v>0</v>
      </c>
      <c r="F64" s="384">
        <f t="shared" si="128"/>
        <v>1.6972545416620941E-2</v>
      </c>
      <c r="G64" s="384">
        <f t="shared" si="128"/>
        <v>9.867183747014549E-2</v>
      </c>
      <c r="H64" s="384">
        <f t="shared" si="128"/>
        <v>0</v>
      </c>
      <c r="I64" s="384">
        <f t="shared" si="128"/>
        <v>9.843216182266433E-2</v>
      </c>
      <c r="J64" s="384">
        <f t="shared" si="128"/>
        <v>0</v>
      </c>
      <c r="K64" s="384">
        <f t="shared" si="128"/>
        <v>0</v>
      </c>
      <c r="L64" s="384">
        <f t="shared" si="128"/>
        <v>0</v>
      </c>
      <c r="M64" s="384">
        <f t="shared" si="128"/>
        <v>1.873059804973189E-2</v>
      </c>
      <c r="N64" s="384">
        <f t="shared" si="128"/>
        <v>1.7621512853137046E-2</v>
      </c>
      <c r="O64" s="384">
        <f t="shared" si="128"/>
        <v>0</v>
      </c>
      <c r="P64" s="384">
        <f t="shared" si="128"/>
        <v>1.8706058095656543E-2</v>
      </c>
      <c r="Q64" s="98"/>
    </row>
    <row r="65" spans="1:17" ht="13">
      <c r="A65" s="61"/>
      <c r="B65" s="22"/>
      <c r="C65" s="384">
        <f t="shared" ref="C65:P66" si="129">C43/C12</f>
        <v>1.71660920366771E-2</v>
      </c>
      <c r="D65" s="384">
        <f t="shared" si="129"/>
        <v>1.8562022433320183E-2</v>
      </c>
      <c r="E65" s="384">
        <f t="shared" si="129"/>
        <v>0</v>
      </c>
      <c r="F65" s="384">
        <f t="shared" si="129"/>
        <v>1.731481281661687E-2</v>
      </c>
      <c r="G65" s="384">
        <f t="shared" si="129"/>
        <v>9.9082757905233673E-2</v>
      </c>
      <c r="H65" s="384">
        <f t="shared" si="129"/>
        <v>0</v>
      </c>
      <c r="I65" s="384">
        <f t="shared" si="129"/>
        <v>9.025963663889254E-2</v>
      </c>
      <c r="J65" s="384" t="e">
        <f t="shared" si="129"/>
        <v>#DIV/0!</v>
      </c>
      <c r="K65" s="384">
        <f t="shared" si="129"/>
        <v>0</v>
      </c>
      <c r="L65" s="384">
        <f t="shared" si="129"/>
        <v>0</v>
      </c>
      <c r="M65" s="384">
        <f t="shared" si="129"/>
        <v>1.9909447904156576E-2</v>
      </c>
      <c r="N65" s="384">
        <f t="shared" si="129"/>
        <v>1.8393602813447176E-2</v>
      </c>
      <c r="O65" s="384">
        <f t="shared" si="129"/>
        <v>0</v>
      </c>
      <c r="P65" s="384">
        <f t="shared" si="129"/>
        <v>1.9183605370381693E-2</v>
      </c>
      <c r="Q65" s="98"/>
    </row>
    <row r="66" spans="1:17" ht="13">
      <c r="A66" s="187"/>
      <c r="B66" s="22"/>
      <c r="C66" s="384" t="e">
        <f t="shared" si="129"/>
        <v>#DIV/0!</v>
      </c>
      <c r="D66" s="384">
        <f t="shared" si="129"/>
        <v>0</v>
      </c>
      <c r="E66" s="384">
        <f t="shared" si="129"/>
        <v>0</v>
      </c>
      <c r="F66" s="384">
        <f t="shared" si="129"/>
        <v>0</v>
      </c>
      <c r="G66" s="384" t="e">
        <f t="shared" si="129"/>
        <v>#DIV/0!</v>
      </c>
      <c r="H66" s="384" t="e">
        <f t="shared" si="129"/>
        <v>#DIV/0!</v>
      </c>
      <c r="I66" s="384" t="e">
        <f t="shared" si="129"/>
        <v>#DIV/0!</v>
      </c>
      <c r="J66" s="384" t="e">
        <f t="shared" si="129"/>
        <v>#DIV/0!</v>
      </c>
      <c r="K66" s="384" t="e">
        <f t="shared" si="129"/>
        <v>#DIV/0!</v>
      </c>
      <c r="L66" s="384" t="e">
        <f t="shared" si="129"/>
        <v>#DIV/0!</v>
      </c>
      <c r="M66" s="384" t="e">
        <f t="shared" si="129"/>
        <v>#DIV/0!</v>
      </c>
      <c r="N66" s="384">
        <f t="shared" si="129"/>
        <v>0</v>
      </c>
      <c r="O66" s="384">
        <f t="shared" si="129"/>
        <v>0</v>
      </c>
      <c r="P66" s="384">
        <f t="shared" si="129"/>
        <v>0</v>
      </c>
    </row>
    <row r="67" spans="1:17" ht="13">
      <c r="A67" s="187"/>
      <c r="B67" s="22"/>
      <c r="C67" s="22"/>
      <c r="D67" s="22"/>
      <c r="E67" s="22"/>
      <c r="F67" s="22"/>
      <c r="G67" s="22"/>
      <c r="H67" s="22"/>
      <c r="I67" s="22"/>
    </row>
    <row r="68" spans="1:17">
      <c r="A68" s="1" t="s">
        <v>12</v>
      </c>
      <c r="C68" s="385"/>
      <c r="D68" s="125"/>
      <c r="E68" s="98"/>
      <c r="F68" s="98"/>
      <c r="G68" s="98"/>
      <c r="H68" s="98"/>
      <c r="I68" s="98"/>
    </row>
    <row r="69" spans="1:17">
      <c r="C69" s="385"/>
      <c r="D69" s="125"/>
      <c r="E69" s="98"/>
      <c r="F69" s="98"/>
      <c r="G69" s="98"/>
      <c r="H69" s="98"/>
      <c r="I69" s="98"/>
    </row>
    <row r="70" spans="1:17">
      <c r="C70" s="385"/>
      <c r="E70" s="98"/>
      <c r="F70" s="98"/>
      <c r="G70" s="98"/>
      <c r="H70" s="98"/>
      <c r="I70" s="98"/>
    </row>
    <row r="71" spans="1:17">
      <c r="C71" s="385"/>
    </row>
    <row r="76" spans="1:17">
      <c r="A76" s="31"/>
    </row>
    <row r="88" spans="1:1">
      <c r="A88" s="31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5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82"/>
  <sheetViews>
    <sheetView topLeftCell="A24" zoomScaleNormal="100" workbookViewId="0">
      <selection activeCell="J41" sqref="J41"/>
    </sheetView>
  </sheetViews>
  <sheetFormatPr defaultColWidth="9.1796875" defaultRowHeight="12.5"/>
  <cols>
    <col min="1" max="1" width="45.7265625" style="1" customWidth="1"/>
    <col min="2" max="2" width="12.54296875" style="1" customWidth="1"/>
    <col min="3" max="3" width="12.7265625" style="98" customWidth="1"/>
    <col min="4" max="4" width="12.7265625" style="1" customWidth="1"/>
    <col min="5" max="5" width="12.54296875" style="1" customWidth="1"/>
    <col min="6" max="8" width="12.7265625" style="1" customWidth="1"/>
    <col min="9" max="9" width="12.81640625" style="1" customWidth="1"/>
    <col min="10" max="10" width="12.7265625" style="1" customWidth="1"/>
    <col min="11" max="16384" width="9.1796875" style="1"/>
  </cols>
  <sheetData>
    <row r="1" spans="1:12" ht="18.5" thickBot="1">
      <c r="A1" s="389" t="s">
        <v>96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2" ht="13.5" thickBot="1">
      <c r="A2" s="108"/>
      <c r="B2" s="406" t="s">
        <v>141</v>
      </c>
      <c r="C2" s="406"/>
      <c r="D2" s="407"/>
      <c r="E2" s="409" t="s">
        <v>67</v>
      </c>
      <c r="F2" s="409"/>
      <c r="G2" s="410"/>
      <c r="H2" s="409" t="s">
        <v>36</v>
      </c>
      <c r="I2" s="409"/>
      <c r="J2" s="410"/>
    </row>
    <row r="3" spans="1:12" ht="13.5" thickBot="1">
      <c r="A3" s="109" t="s">
        <v>0</v>
      </c>
      <c r="B3" s="128" t="s">
        <v>35</v>
      </c>
      <c r="C3" s="128" t="s">
        <v>40</v>
      </c>
      <c r="D3" s="130" t="s">
        <v>36</v>
      </c>
      <c r="E3" s="128" t="s">
        <v>35</v>
      </c>
      <c r="F3" s="128" t="s">
        <v>40</v>
      </c>
      <c r="G3" s="130" t="s">
        <v>36</v>
      </c>
      <c r="H3" s="128" t="s">
        <v>35</v>
      </c>
      <c r="I3" s="128" t="s">
        <v>40</v>
      </c>
      <c r="J3" s="130" t="s">
        <v>36</v>
      </c>
    </row>
    <row r="4" spans="1:12" ht="13">
      <c r="A4" s="151"/>
      <c r="B4" s="12"/>
      <c r="C4" s="12"/>
      <c r="D4" s="99"/>
      <c r="E4" s="12"/>
      <c r="F4" s="12"/>
      <c r="G4" s="99"/>
      <c r="H4" s="12"/>
      <c r="I4" s="12"/>
      <c r="J4" s="99"/>
    </row>
    <row r="5" spans="1:12" ht="13">
      <c r="A5" s="111" t="s">
        <v>125</v>
      </c>
      <c r="B5" s="12"/>
      <c r="C5" s="12"/>
      <c r="D5" s="99"/>
      <c r="E5" s="379"/>
      <c r="F5" s="12"/>
      <c r="G5" s="99"/>
      <c r="H5" s="12"/>
      <c r="I5" s="12"/>
      <c r="J5" s="99"/>
    </row>
    <row r="6" spans="1:12" ht="13">
      <c r="A6" s="111" t="s">
        <v>65</v>
      </c>
      <c r="B6" s="265">
        <f>'[2]PA-SYS-NET'!$B$9/'[2]PA-SYS-NET'!$D$9</f>
        <v>0.80539567616547969</v>
      </c>
      <c r="C6" s="284"/>
      <c r="D6" s="157"/>
      <c r="E6" s="265">
        <f>'[2]PAT1-SYS-NET'!$B$18/'[2]PAT1-SYS-NET'!$G$8</f>
        <v>0.25372302973374894</v>
      </c>
      <c r="F6" s="265">
        <f>'[2]PAT1-SYS-NET'!$C$18/'[2]PAT1-SYS-NET'!$G$8</f>
        <v>4.2674382623833348E-3</v>
      </c>
      <c r="G6" s="157"/>
      <c r="H6" s="136"/>
      <c r="I6" s="268"/>
      <c r="J6" s="157"/>
    </row>
    <row r="7" spans="1:12" ht="13">
      <c r="A7" s="111" t="s">
        <v>66</v>
      </c>
      <c r="B7" s="265">
        <f>'[2]PA-SYS-NET'!$C$9/'[2]PA-SYS-NET'!$D$9</f>
        <v>0.19460432383452031</v>
      </c>
      <c r="C7" s="284"/>
      <c r="D7" s="157"/>
      <c r="E7" s="265">
        <f>('[2]PAT1-SYS-NET'!$B$19+'[2]PAT1-SYS-NET'!$B$20)/'[2]PAT1-SYS-NET'!$G$8</f>
        <v>0.71553879285978617</v>
      </c>
      <c r="F7" s="265">
        <f>('[2]PAT1-SYS-NET'!$C$19+'[2]PAT1-SYS-NET'!$C$20)/'[2]PAT1-SYS-NET'!$G$8</f>
        <v>2.6470739144081625E-2</v>
      </c>
      <c r="G7" s="157"/>
      <c r="H7" s="136"/>
      <c r="I7" s="268"/>
      <c r="J7" s="157"/>
    </row>
    <row r="8" spans="1:12" ht="13">
      <c r="A8" s="111"/>
      <c r="B8" s="12"/>
      <c r="C8" s="12"/>
      <c r="D8" s="99"/>
      <c r="E8" s="12"/>
      <c r="F8" s="12"/>
      <c r="G8" s="99"/>
      <c r="H8" s="12"/>
      <c r="I8" s="12"/>
      <c r="J8" s="99"/>
    </row>
    <row r="9" spans="1:12" ht="13">
      <c r="A9" s="111" t="s">
        <v>103</v>
      </c>
      <c r="B9" s="102">
        <f t="shared" ref="B9:J9" si="0">B10+B11</f>
        <v>41724</v>
      </c>
      <c r="C9" s="102"/>
      <c r="D9" s="103">
        <f t="shared" si="0"/>
        <v>41724</v>
      </c>
      <c r="E9" s="102">
        <f t="shared" si="0"/>
        <v>5361.9564025874361</v>
      </c>
      <c r="F9" s="102">
        <f t="shared" si="0"/>
        <v>170.04359741256417</v>
      </c>
      <c r="G9" s="103">
        <f t="shared" si="0"/>
        <v>5532</v>
      </c>
      <c r="H9" s="102">
        <f t="shared" si="0"/>
        <v>47085.956402587442</v>
      </c>
      <c r="I9" s="102">
        <f t="shared" si="0"/>
        <v>170.04359741256417</v>
      </c>
      <c r="J9" s="103">
        <f t="shared" si="0"/>
        <v>47256</v>
      </c>
      <c r="L9" s="80"/>
    </row>
    <row r="10" spans="1:12" ht="13">
      <c r="A10" s="111" t="s">
        <v>65</v>
      </c>
      <c r="B10" s="258">
        <f>'[1]SDGE-CustMonth-Forecast A'!$T$143*B6</f>
        <v>33604.329192328478</v>
      </c>
      <c r="C10" s="258"/>
      <c r="D10" s="132">
        <f>B10+C10</f>
        <v>33604.329192328478</v>
      </c>
      <c r="E10" s="258">
        <f>'[1]SDGE-CustMonth-Forecast A'!$T$147*E6</f>
        <v>1403.595800487099</v>
      </c>
      <c r="F10" s="258">
        <f>'[1]SDGE-CustMonth-Forecast A'!$T$147*F6</f>
        <v>23.607468467504606</v>
      </c>
      <c r="G10" s="132">
        <f>E10+F10</f>
        <v>1427.2032689546036</v>
      </c>
      <c r="H10" s="83">
        <f>B10+E10</f>
        <v>35007.924992815577</v>
      </c>
      <c r="I10" s="83">
        <f>C10+F10</f>
        <v>23.607468467504606</v>
      </c>
      <c r="J10" s="132">
        <f>H10+I10</f>
        <v>35031.532461283081</v>
      </c>
    </row>
    <row r="11" spans="1:12" ht="13">
      <c r="A11" s="111" t="s">
        <v>66</v>
      </c>
      <c r="B11" s="258">
        <f>'[1]SDGE-CustMonth-Forecast A'!$T$143*B7</f>
        <v>8119.6708076715258</v>
      </c>
      <c r="C11" s="258"/>
      <c r="D11" s="132">
        <f>B11+C11</f>
        <v>8119.6708076715258</v>
      </c>
      <c r="E11" s="258">
        <f>'[1]SDGE-CustMonth-Forecast A'!$T$147*E7</f>
        <v>3958.360602100337</v>
      </c>
      <c r="F11" s="258">
        <f>'[1]SDGE-CustMonth-Forecast A'!$T$147*F7</f>
        <v>146.43612894505955</v>
      </c>
      <c r="G11" s="132">
        <f>E11+F11</f>
        <v>4104.7967310453969</v>
      </c>
      <c r="H11" s="83">
        <f>B11+E11</f>
        <v>12078.031409771862</v>
      </c>
      <c r="I11" s="83">
        <f>C11+F11</f>
        <v>146.43612894505955</v>
      </c>
      <c r="J11" s="132">
        <f>H11+I11</f>
        <v>12224.467538716921</v>
      </c>
    </row>
    <row r="12" spans="1:12" ht="13">
      <c r="A12" s="111"/>
      <c r="B12" s="131"/>
      <c r="C12" s="131"/>
      <c r="D12" s="132"/>
      <c r="E12" s="131"/>
      <c r="F12" s="131"/>
      <c r="G12" s="132"/>
      <c r="H12" s="131"/>
      <c r="I12" s="131"/>
      <c r="J12" s="132"/>
    </row>
    <row r="13" spans="1:12" ht="13">
      <c r="A13" s="111" t="s">
        <v>104</v>
      </c>
      <c r="B13" s="98"/>
      <c r="D13" s="99"/>
      <c r="E13" s="98"/>
      <c r="F13" s="98"/>
      <c r="G13" s="99"/>
      <c r="H13" s="98"/>
      <c r="I13" s="98"/>
      <c r="J13" s="99"/>
    </row>
    <row r="14" spans="1:12" ht="13">
      <c r="A14" s="111" t="s">
        <v>9</v>
      </c>
      <c r="B14" s="102">
        <f t="shared" ref="B14:J14" si="1">B15+B16</f>
        <v>3477</v>
      </c>
      <c r="C14" s="102"/>
      <c r="D14" s="103">
        <f t="shared" si="1"/>
        <v>3477</v>
      </c>
      <c r="E14" s="102">
        <f t="shared" si="1"/>
        <v>446.82970021561971</v>
      </c>
      <c r="F14" s="102">
        <f t="shared" si="1"/>
        <v>14.170299784380347</v>
      </c>
      <c r="G14" s="103">
        <f t="shared" si="1"/>
        <v>461.00000000000006</v>
      </c>
      <c r="H14" s="102">
        <f t="shared" si="1"/>
        <v>3923.8297002156196</v>
      </c>
      <c r="I14" s="102">
        <f t="shared" si="1"/>
        <v>14.170299784380347</v>
      </c>
      <c r="J14" s="103">
        <f t="shared" si="1"/>
        <v>3938</v>
      </c>
      <c r="L14" s="80"/>
    </row>
    <row r="15" spans="1:12" ht="13">
      <c r="A15" s="111" t="s">
        <v>65</v>
      </c>
      <c r="B15" s="258">
        <f>'[1]SDGE-Cust-Forecast'!$GC$143*B6</f>
        <v>2800.3607660273728</v>
      </c>
      <c r="C15" s="258"/>
      <c r="D15" s="132">
        <f t="shared" ref="D15:D16" si="2">B15+C15</f>
        <v>2800.3607660273728</v>
      </c>
      <c r="E15" s="258">
        <f>'[1]SDGE-Cust-Forecast'!$GC$147*E6</f>
        <v>116.96631670725826</v>
      </c>
      <c r="F15" s="258">
        <f>'[1]SDGE-Cust-Forecast'!$GC$147*F6</f>
        <v>1.9672890389587174</v>
      </c>
      <c r="G15" s="132">
        <f t="shared" ref="G15:G16" si="3">E15+F15</f>
        <v>118.93360574621697</v>
      </c>
      <c r="H15" s="83">
        <f>B15+E15</f>
        <v>2917.3270827346309</v>
      </c>
      <c r="I15" s="83">
        <f>C15+F15</f>
        <v>1.9672890389587174</v>
      </c>
      <c r="J15" s="132">
        <f>H15+I15</f>
        <v>2919.2943717735898</v>
      </c>
    </row>
    <row r="16" spans="1:12" ht="13">
      <c r="A16" s="111" t="s">
        <v>66</v>
      </c>
      <c r="B16" s="258">
        <f>'[1]SDGE-Cust-Forecast'!$GC$143*B7</f>
        <v>676.63923397262715</v>
      </c>
      <c r="C16" s="258"/>
      <c r="D16" s="132">
        <f t="shared" si="2"/>
        <v>676.63923397262715</v>
      </c>
      <c r="E16" s="258">
        <f>'[1]SDGE-Cust-Forecast'!$GC$147*E7</f>
        <v>329.86338350836144</v>
      </c>
      <c r="F16" s="258">
        <f>'[1]SDGE-Cust-Forecast'!$GC$147*F7</f>
        <v>12.203010745421629</v>
      </c>
      <c r="G16" s="132">
        <f t="shared" si="3"/>
        <v>342.06639425378307</v>
      </c>
      <c r="H16" s="83">
        <f>B16+E16</f>
        <v>1006.5026174809886</v>
      </c>
      <c r="I16" s="83">
        <f>C16+F16</f>
        <v>12.203010745421629</v>
      </c>
      <c r="J16" s="132">
        <f>H16+I16</f>
        <v>1018.7056282264102</v>
      </c>
    </row>
    <row r="17" spans="1:12" ht="13">
      <c r="A17" s="111"/>
      <c r="B17" s="131"/>
      <c r="C17" s="131"/>
      <c r="D17" s="133"/>
      <c r="E17" s="131"/>
      <c r="F17" s="131"/>
      <c r="G17" s="133"/>
      <c r="H17" s="131"/>
      <c r="I17" s="131"/>
      <c r="J17" s="133"/>
    </row>
    <row r="18" spans="1:12" ht="13">
      <c r="A18" s="111" t="s">
        <v>105</v>
      </c>
      <c r="B18" s="102">
        <f t="shared" ref="B18:J18" si="4">B19+B20</f>
        <v>0</v>
      </c>
      <c r="C18" s="102"/>
      <c r="D18" s="103">
        <f t="shared" si="4"/>
        <v>0</v>
      </c>
      <c r="E18" s="102">
        <f t="shared" si="4"/>
        <v>0</v>
      </c>
      <c r="F18" s="102">
        <f t="shared" si="4"/>
        <v>0</v>
      </c>
      <c r="G18" s="103">
        <f t="shared" si="4"/>
        <v>0</v>
      </c>
      <c r="H18" s="102">
        <f t="shared" si="4"/>
        <v>0</v>
      </c>
      <c r="I18" s="102">
        <f t="shared" si="4"/>
        <v>0</v>
      </c>
      <c r="J18" s="103">
        <f t="shared" si="4"/>
        <v>0</v>
      </c>
      <c r="L18" s="80"/>
    </row>
    <row r="19" spans="1:12" ht="13">
      <c r="A19" s="111" t="s">
        <v>65</v>
      </c>
      <c r="B19" s="259">
        <f>'[1]SDGE-Cust-Forecast'!$GO$143*B6-B15</f>
        <v>0</v>
      </c>
      <c r="C19" s="259"/>
      <c r="D19" s="132">
        <f t="shared" ref="D19:D28" si="5">B19+C19</f>
        <v>0</v>
      </c>
      <c r="E19" s="259">
        <f>'[1]SDGE-Cust-Forecast'!$GO$147*E6-E15</f>
        <v>0</v>
      </c>
      <c r="F19" s="259">
        <f>'[1]SDGE-Cust-Forecast'!$GO$147*F6-F15</f>
        <v>0</v>
      </c>
      <c r="G19" s="132">
        <f t="shared" ref="G19:G28" si="6">E19+F19</f>
        <v>0</v>
      </c>
      <c r="H19" s="83">
        <f>B19+E19</f>
        <v>0</v>
      </c>
      <c r="I19" s="83">
        <f>C19+F19</f>
        <v>0</v>
      </c>
      <c r="J19" s="132">
        <f>H19+I19</f>
        <v>0</v>
      </c>
    </row>
    <row r="20" spans="1:12" ht="13">
      <c r="A20" s="111" t="s">
        <v>66</v>
      </c>
      <c r="B20" s="259">
        <f>'[1]SDGE-Cust-Forecast'!$GO$143*B7-B16</f>
        <v>0</v>
      </c>
      <c r="C20" s="259"/>
      <c r="D20" s="132">
        <f t="shared" si="5"/>
        <v>0</v>
      </c>
      <c r="E20" s="259">
        <f>'[1]SDGE-Cust-Forecast'!$GO$147*E7-E16</f>
        <v>0</v>
      </c>
      <c r="F20" s="259">
        <f>'[1]SDGE-Cust-Forecast'!$GO$147*F7-F16</f>
        <v>0</v>
      </c>
      <c r="G20" s="132">
        <f t="shared" si="6"/>
        <v>0</v>
      </c>
      <c r="H20" s="83">
        <f>B20+E20</f>
        <v>0</v>
      </c>
      <c r="I20" s="83">
        <f>C20+F20</f>
        <v>0</v>
      </c>
      <c r="J20" s="132">
        <f>H20+I20</f>
        <v>0</v>
      </c>
    </row>
    <row r="21" spans="1:12" ht="13">
      <c r="A21" s="111"/>
      <c r="B21" s="134"/>
      <c r="C21" s="134"/>
      <c r="D21" s="132"/>
      <c r="E21" s="134"/>
      <c r="F21" s="134"/>
      <c r="G21" s="132"/>
      <c r="H21" s="134"/>
      <c r="I21" s="134"/>
      <c r="J21" s="132"/>
    </row>
    <row r="22" spans="1:12" ht="13">
      <c r="A22" s="111" t="s">
        <v>106</v>
      </c>
      <c r="B22" s="102">
        <f t="shared" ref="B22:J22" si="7">B23+B24</f>
        <v>0</v>
      </c>
      <c r="C22" s="102"/>
      <c r="D22" s="103">
        <f t="shared" si="7"/>
        <v>0</v>
      </c>
      <c r="E22" s="102">
        <f t="shared" si="7"/>
        <v>0</v>
      </c>
      <c r="F22" s="102">
        <f t="shared" si="7"/>
        <v>0</v>
      </c>
      <c r="G22" s="103">
        <f t="shared" si="7"/>
        <v>0</v>
      </c>
      <c r="H22" s="102">
        <f t="shared" si="7"/>
        <v>0</v>
      </c>
      <c r="I22" s="102">
        <f t="shared" si="7"/>
        <v>0</v>
      </c>
      <c r="J22" s="103">
        <f t="shared" si="7"/>
        <v>0</v>
      </c>
      <c r="L22" s="80"/>
    </row>
    <row r="23" spans="1:12" ht="13">
      <c r="A23" s="111" t="s">
        <v>65</v>
      </c>
      <c r="B23" s="259">
        <f>'[1]SDGE-Cust-Forecast'!$HA$143*B6-B19-B15</f>
        <v>0</v>
      </c>
      <c r="C23" s="259"/>
      <c r="D23" s="132">
        <f t="shared" si="5"/>
        <v>0</v>
      </c>
      <c r="E23" s="259">
        <f>'[1]SDGE-Cust-Forecast'!$HA$147*E6-E19-E15</f>
        <v>0</v>
      </c>
      <c r="F23" s="259">
        <f>'[1]SDGE-Cust-Forecast'!$HA$147*F6-F19-F15</f>
        <v>0</v>
      </c>
      <c r="G23" s="132">
        <f t="shared" si="6"/>
        <v>0</v>
      </c>
      <c r="H23" s="83">
        <f>B23+E23</f>
        <v>0</v>
      </c>
      <c r="I23" s="83">
        <f>C23+F23</f>
        <v>0</v>
      </c>
      <c r="J23" s="132">
        <f>H23+I23</f>
        <v>0</v>
      </c>
    </row>
    <row r="24" spans="1:12" ht="13">
      <c r="A24" s="111" t="s">
        <v>66</v>
      </c>
      <c r="B24" s="259">
        <f>'[1]SDGE-Cust-Forecast'!$HA$143*B7-B20-B16</f>
        <v>0</v>
      </c>
      <c r="C24" s="259"/>
      <c r="D24" s="132">
        <f t="shared" si="5"/>
        <v>0</v>
      </c>
      <c r="E24" s="259">
        <f>'[1]SDGE-Cust-Forecast'!$HA$147*E7-E20-E16</f>
        <v>0</v>
      </c>
      <c r="F24" s="259">
        <f>'[1]SDGE-Cust-Forecast'!$HA$147*F7-F20-F16</f>
        <v>0</v>
      </c>
      <c r="G24" s="132">
        <f t="shared" si="6"/>
        <v>0</v>
      </c>
      <c r="H24" s="83">
        <f>B24+E24</f>
        <v>0</v>
      </c>
      <c r="I24" s="83">
        <f>C24+F24</f>
        <v>0</v>
      </c>
      <c r="J24" s="132">
        <f>H24+I24</f>
        <v>0</v>
      </c>
    </row>
    <row r="25" spans="1:12" ht="13">
      <c r="A25" s="111"/>
      <c r="B25" s="259"/>
      <c r="C25" s="134"/>
      <c r="D25" s="132"/>
      <c r="E25" s="134"/>
      <c r="F25" s="134"/>
      <c r="G25" s="132"/>
      <c r="H25" s="134"/>
      <c r="I25" s="134"/>
      <c r="J25" s="132"/>
    </row>
    <row r="26" spans="1:12" ht="13">
      <c r="A26" s="111" t="s">
        <v>107</v>
      </c>
      <c r="B26" s="102">
        <f t="shared" ref="B26:J26" si="8">B27+B28</f>
        <v>0</v>
      </c>
      <c r="C26" s="102"/>
      <c r="D26" s="103">
        <f t="shared" si="8"/>
        <v>0</v>
      </c>
      <c r="E26" s="102">
        <f t="shared" si="8"/>
        <v>0</v>
      </c>
      <c r="F26" s="102">
        <f t="shared" si="8"/>
        <v>0</v>
      </c>
      <c r="G26" s="103">
        <f t="shared" si="8"/>
        <v>0</v>
      </c>
      <c r="H26" s="102">
        <f t="shared" si="8"/>
        <v>0</v>
      </c>
      <c r="I26" s="102">
        <f t="shared" si="8"/>
        <v>0</v>
      </c>
      <c r="J26" s="103">
        <f t="shared" si="8"/>
        <v>0</v>
      </c>
      <c r="L26" s="80"/>
    </row>
    <row r="27" spans="1:12" ht="13">
      <c r="A27" s="111" t="s">
        <v>65</v>
      </c>
      <c r="B27" s="259">
        <f>'[1]SDGE-Cust-Forecast'!$HM$143*B6-B23-B19-B15</f>
        <v>0</v>
      </c>
      <c r="C27" s="259"/>
      <c r="D27" s="132">
        <f t="shared" si="5"/>
        <v>0</v>
      </c>
      <c r="E27" s="259">
        <f>'[1]SDGE-Cust-Forecast'!$HM$147*E6-E23-E19-E15</f>
        <v>0</v>
      </c>
      <c r="F27" s="259">
        <f>'[1]SDGE-Cust-Forecast'!$HM$147*F6-F23-F19-F15</f>
        <v>0</v>
      </c>
      <c r="G27" s="132">
        <f t="shared" si="6"/>
        <v>0</v>
      </c>
      <c r="H27" s="83">
        <f>B27+E27</f>
        <v>0</v>
      </c>
      <c r="I27" s="83">
        <f>C27+F27</f>
        <v>0</v>
      </c>
      <c r="J27" s="132">
        <f>H27+I27</f>
        <v>0</v>
      </c>
    </row>
    <row r="28" spans="1:12" ht="13">
      <c r="A28" s="111" t="s">
        <v>66</v>
      </c>
      <c r="B28" s="259">
        <f>'[1]SDGE-Cust-Forecast'!$HM$143*B7-B24-B20-B16</f>
        <v>0</v>
      </c>
      <c r="C28" s="259"/>
      <c r="D28" s="132">
        <f t="shared" si="5"/>
        <v>0</v>
      </c>
      <c r="E28" s="259">
        <f>'[1]SDGE-Cust-Forecast'!$HM$147*E7-E24-E20-E16</f>
        <v>0</v>
      </c>
      <c r="F28" s="259">
        <f>'[1]SDGE-Cust-Forecast'!$HM$147*F7-F24-F20-F16</f>
        <v>0</v>
      </c>
      <c r="G28" s="132">
        <f t="shared" si="6"/>
        <v>0</v>
      </c>
      <c r="H28" s="83">
        <f>B28+E28</f>
        <v>0</v>
      </c>
      <c r="I28" s="83">
        <f>C28+F28</f>
        <v>0</v>
      </c>
      <c r="J28" s="132">
        <f>H28+I28</f>
        <v>0</v>
      </c>
      <c r="L28" s="348"/>
    </row>
    <row r="29" spans="1:12" ht="13">
      <c r="A29" s="111"/>
      <c r="B29" s="83"/>
      <c r="C29" s="83"/>
      <c r="D29" s="133"/>
      <c r="E29" s="83"/>
      <c r="F29" s="83"/>
      <c r="G29" s="133"/>
      <c r="H29" s="83"/>
      <c r="I29" s="83"/>
      <c r="J29" s="133"/>
      <c r="L29" s="348"/>
    </row>
    <row r="30" spans="1:12" ht="13">
      <c r="A30" s="111" t="s">
        <v>115</v>
      </c>
      <c r="B30" s="83">
        <f>ROUND(SUM(B18:B26)/3,0)</f>
        <v>0</v>
      </c>
      <c r="C30" s="83"/>
      <c r="D30" s="78">
        <f t="shared" ref="D30:J30" si="9">ROUND(SUM(D18:D26)/3,0)</f>
        <v>0</v>
      </c>
      <c r="E30" s="83">
        <f t="shared" si="9"/>
        <v>0</v>
      </c>
      <c r="F30" s="83">
        <f t="shared" si="9"/>
        <v>0</v>
      </c>
      <c r="G30" s="78">
        <f t="shared" si="9"/>
        <v>0</v>
      </c>
      <c r="H30" s="83">
        <f t="shared" si="9"/>
        <v>0</v>
      </c>
      <c r="I30" s="83">
        <f t="shared" si="9"/>
        <v>0</v>
      </c>
      <c r="J30" s="78">
        <f t="shared" si="9"/>
        <v>0</v>
      </c>
    </row>
    <row r="31" spans="1:12" ht="13">
      <c r="A31" s="111" t="s">
        <v>65</v>
      </c>
      <c r="B31" s="83">
        <f t="shared" ref="B31:J32" si="10">ROUND(SUM(B19:B27)/3,0)</f>
        <v>0</v>
      </c>
      <c r="C31" s="83"/>
      <c r="D31" s="78">
        <f t="shared" si="10"/>
        <v>0</v>
      </c>
      <c r="E31" s="83">
        <f t="shared" si="10"/>
        <v>0</v>
      </c>
      <c r="F31" s="83">
        <f t="shared" si="10"/>
        <v>0</v>
      </c>
      <c r="G31" s="78">
        <f t="shared" si="10"/>
        <v>0</v>
      </c>
      <c r="H31" s="83">
        <f t="shared" si="10"/>
        <v>0</v>
      </c>
      <c r="I31" s="83">
        <f t="shared" si="10"/>
        <v>0</v>
      </c>
      <c r="J31" s="78">
        <f t="shared" si="10"/>
        <v>0</v>
      </c>
    </row>
    <row r="32" spans="1:12" ht="13">
      <c r="A32" s="111" t="s">
        <v>66</v>
      </c>
      <c r="B32" s="83">
        <f t="shared" si="10"/>
        <v>0</v>
      </c>
      <c r="C32" s="83"/>
      <c r="D32" s="78">
        <f t="shared" si="10"/>
        <v>0</v>
      </c>
      <c r="E32" s="83">
        <f t="shared" si="10"/>
        <v>0</v>
      </c>
      <c r="F32" s="83">
        <f t="shared" si="10"/>
        <v>0</v>
      </c>
      <c r="G32" s="78">
        <f t="shared" si="10"/>
        <v>0</v>
      </c>
      <c r="H32" s="83">
        <f t="shared" si="10"/>
        <v>0</v>
      </c>
      <c r="I32" s="83">
        <f t="shared" si="10"/>
        <v>0</v>
      </c>
      <c r="J32" s="78">
        <f t="shared" si="10"/>
        <v>0</v>
      </c>
    </row>
    <row r="33" spans="1:10" ht="13">
      <c r="A33" s="111"/>
      <c r="B33" s="83"/>
      <c r="C33" s="83"/>
      <c r="D33" s="133"/>
      <c r="E33" s="83"/>
      <c r="F33" s="83"/>
      <c r="G33" s="133"/>
      <c r="H33" s="83"/>
      <c r="I33" s="83"/>
      <c r="J33" s="133"/>
    </row>
    <row r="34" spans="1:10" ht="13">
      <c r="A34" s="111"/>
      <c r="B34" s="83"/>
      <c r="C34" s="83"/>
      <c r="D34" s="132"/>
      <c r="E34" s="83"/>
      <c r="F34" s="83"/>
      <c r="G34" s="132"/>
      <c r="H34" s="102"/>
      <c r="I34" s="102"/>
      <c r="J34" s="103"/>
    </row>
    <row r="35" spans="1:10" ht="13">
      <c r="A35" s="111" t="s">
        <v>75</v>
      </c>
      <c r="B35" s="83">
        <f>B36+B37</f>
        <v>0</v>
      </c>
      <c r="C35" s="83"/>
      <c r="D35" s="78">
        <f t="shared" ref="D35:J35" si="11">D36+D37</f>
        <v>0</v>
      </c>
      <c r="E35" s="83">
        <f t="shared" si="11"/>
        <v>0</v>
      </c>
      <c r="F35" s="83">
        <f t="shared" si="11"/>
        <v>0</v>
      </c>
      <c r="G35" s="78">
        <f t="shared" si="11"/>
        <v>0</v>
      </c>
      <c r="H35" s="83">
        <f t="shared" si="11"/>
        <v>0</v>
      </c>
      <c r="I35" s="83">
        <f t="shared" si="11"/>
        <v>0</v>
      </c>
      <c r="J35" s="78">
        <f t="shared" si="11"/>
        <v>0</v>
      </c>
    </row>
    <row r="36" spans="1:10" ht="13">
      <c r="A36" s="111" t="s">
        <v>65</v>
      </c>
      <c r="B36" s="83">
        <f>IF(B31&lt;0,0,B31)</f>
        <v>0</v>
      </c>
      <c r="C36" s="83"/>
      <c r="D36" s="78">
        <f>B36+C36</f>
        <v>0</v>
      </c>
      <c r="E36" s="83">
        <f>IF(E31&lt;0,0,E31)</f>
        <v>0</v>
      </c>
      <c r="F36" s="83">
        <f>IF(F31&lt;0,0,F31)</f>
        <v>0</v>
      </c>
      <c r="G36" s="78">
        <f>E36+F36</f>
        <v>0</v>
      </c>
      <c r="H36" s="83">
        <f>B36+E36</f>
        <v>0</v>
      </c>
      <c r="I36" s="83">
        <f>C36+F36</f>
        <v>0</v>
      </c>
      <c r="J36" s="78">
        <f>H36+I36</f>
        <v>0</v>
      </c>
    </row>
    <row r="37" spans="1:10" ht="13">
      <c r="A37" s="111" t="s">
        <v>66</v>
      </c>
      <c r="B37" s="83">
        <f>IF(B32&lt;0,0,B32)</f>
        <v>0</v>
      </c>
      <c r="C37" s="83"/>
      <c r="D37" s="78">
        <f>B37+C37</f>
        <v>0</v>
      </c>
      <c r="E37" s="83">
        <f>IF(E32&lt;0,0,E32)</f>
        <v>0</v>
      </c>
      <c r="F37" s="83">
        <f>IF(F32&lt;0,0,F32)</f>
        <v>0</v>
      </c>
      <c r="G37" s="78">
        <f>E37+F37</f>
        <v>0</v>
      </c>
      <c r="H37" s="83">
        <f>B37+E37</f>
        <v>0</v>
      </c>
      <c r="I37" s="83">
        <f>C37+F37</f>
        <v>0</v>
      </c>
      <c r="J37" s="78">
        <f>H37+I37</f>
        <v>0</v>
      </c>
    </row>
    <row r="38" spans="1:10" ht="13">
      <c r="A38" s="112"/>
      <c r="B38" s="83"/>
      <c r="C38" s="83"/>
      <c r="D38" s="78"/>
      <c r="E38" s="83"/>
      <c r="F38" s="83"/>
      <c r="G38" s="78"/>
      <c r="H38" s="83"/>
      <c r="I38" s="83"/>
      <c r="J38" s="78"/>
    </row>
    <row r="39" spans="1:10" ht="13">
      <c r="A39" s="111" t="s">
        <v>10</v>
      </c>
      <c r="B39" s="83"/>
      <c r="C39" s="83"/>
      <c r="D39" s="78"/>
      <c r="E39" s="83"/>
      <c r="F39" s="83"/>
      <c r="G39" s="78"/>
      <c r="H39" s="83"/>
      <c r="I39" s="83"/>
      <c r="J39" s="78"/>
    </row>
    <row r="40" spans="1:10" ht="13">
      <c r="A40" s="110" t="s">
        <v>142</v>
      </c>
      <c r="B40" s="83">
        <f>B41+B42</f>
        <v>52.155000000000001</v>
      </c>
      <c r="C40" s="83"/>
      <c r="D40" s="78">
        <f t="shared" ref="D40:J40" si="12">D41+D42</f>
        <v>52.155000000000001</v>
      </c>
      <c r="E40" s="83">
        <f t="shared" si="12"/>
        <v>6.7024455032342951</v>
      </c>
      <c r="F40" s="83">
        <f t="shared" si="12"/>
        <v>0.2125544967657052</v>
      </c>
      <c r="G40" s="78">
        <f t="shared" si="12"/>
        <v>6.915</v>
      </c>
      <c r="H40" s="83">
        <f t="shared" si="12"/>
        <v>58.857445503234295</v>
      </c>
      <c r="I40" s="83">
        <f t="shared" si="12"/>
        <v>0.2125544967657052</v>
      </c>
      <c r="J40" s="78">
        <f t="shared" si="12"/>
        <v>59.069999999999993</v>
      </c>
    </row>
    <row r="41" spans="1:10" ht="13">
      <c r="A41" s="111" t="s">
        <v>65</v>
      </c>
      <c r="B41" s="83">
        <f>B15*0.015</f>
        <v>42.005411490410594</v>
      </c>
      <c r="C41" s="83"/>
      <c r="D41" s="78">
        <f>B41+C41</f>
        <v>42.005411490410594</v>
      </c>
      <c r="E41" s="83">
        <f>E15*0.015</f>
        <v>1.7544947506088737</v>
      </c>
      <c r="F41" s="83">
        <f>F15*0.015</f>
        <v>2.950933558438076E-2</v>
      </c>
      <c r="G41" s="78">
        <f>E41+F41</f>
        <v>1.7840040861932545</v>
      </c>
      <c r="H41" s="83">
        <f>H15*0.015</f>
        <v>43.759906241019465</v>
      </c>
      <c r="I41" s="83">
        <f>I15*0.015</f>
        <v>2.950933558438076E-2</v>
      </c>
      <c r="J41" s="78">
        <f>H41+I41</f>
        <v>43.789415576603844</v>
      </c>
    </row>
    <row r="42" spans="1:10" ht="13">
      <c r="A42" s="111" t="s">
        <v>66</v>
      </c>
      <c r="B42" s="83">
        <f>B16*0.015</f>
        <v>10.149588509589407</v>
      </c>
      <c r="C42" s="83"/>
      <c r="D42" s="78">
        <f>B42+C42</f>
        <v>10.149588509589407</v>
      </c>
      <c r="E42" s="83">
        <f>E16*0.015</f>
        <v>4.9479507526254212</v>
      </c>
      <c r="F42" s="83">
        <f>F16*0.015</f>
        <v>0.18304516118132444</v>
      </c>
      <c r="G42" s="78">
        <f>E42+F42</f>
        <v>5.1309959138067454</v>
      </c>
      <c r="H42" s="83">
        <f>H16*0.015</f>
        <v>15.097539262214829</v>
      </c>
      <c r="I42" s="83">
        <f>I16*0.015</f>
        <v>0.18304516118132444</v>
      </c>
      <c r="J42" s="78">
        <f>H42+I42</f>
        <v>15.280584423396153</v>
      </c>
    </row>
    <row r="43" spans="1:10" ht="13">
      <c r="A43" s="111"/>
      <c r="B43" s="83"/>
      <c r="C43" s="83"/>
      <c r="D43" s="78"/>
      <c r="E43" s="83"/>
      <c r="F43" s="83"/>
      <c r="G43" s="78"/>
      <c r="H43" s="83"/>
      <c r="I43" s="83"/>
      <c r="J43" s="78"/>
    </row>
    <row r="44" spans="1:10" ht="13">
      <c r="A44" s="111" t="s">
        <v>11</v>
      </c>
      <c r="B44" s="83">
        <f>B35+B40</f>
        <v>52.155000000000001</v>
      </c>
      <c r="C44" s="83"/>
      <c r="D44" s="78">
        <f t="shared" ref="D44:J44" si="13">D35+D40</f>
        <v>52.155000000000001</v>
      </c>
      <c r="E44" s="83">
        <f t="shared" si="13"/>
        <v>6.7024455032342951</v>
      </c>
      <c r="F44" s="83">
        <f t="shared" si="13"/>
        <v>0.2125544967657052</v>
      </c>
      <c r="G44" s="78">
        <f t="shared" si="13"/>
        <v>6.915</v>
      </c>
      <c r="H44" s="83">
        <f t="shared" si="13"/>
        <v>58.857445503234295</v>
      </c>
      <c r="I44" s="83">
        <f t="shared" si="13"/>
        <v>0.2125544967657052</v>
      </c>
      <c r="J44" s="78">
        <f t="shared" si="13"/>
        <v>59.069999999999993</v>
      </c>
    </row>
    <row r="45" spans="1:10" ht="13">
      <c r="A45" s="111" t="s">
        <v>65</v>
      </c>
      <c r="B45" s="83">
        <f t="shared" ref="B45:J46" si="14">B36+B41</f>
        <v>42.005411490410594</v>
      </c>
      <c r="C45" s="83"/>
      <c r="D45" s="78">
        <f t="shared" si="14"/>
        <v>42.005411490410594</v>
      </c>
      <c r="E45" s="83">
        <f t="shared" si="14"/>
        <v>1.7544947506088737</v>
      </c>
      <c r="F45" s="83">
        <f t="shared" si="14"/>
        <v>2.950933558438076E-2</v>
      </c>
      <c r="G45" s="78">
        <f t="shared" si="14"/>
        <v>1.7840040861932545</v>
      </c>
      <c r="H45" s="83">
        <f t="shared" si="14"/>
        <v>43.759906241019465</v>
      </c>
      <c r="I45" s="83">
        <f t="shared" si="14"/>
        <v>2.950933558438076E-2</v>
      </c>
      <c r="J45" s="78">
        <f t="shared" si="14"/>
        <v>43.789415576603844</v>
      </c>
    </row>
    <row r="46" spans="1:10" ht="13">
      <c r="A46" s="111" t="s">
        <v>66</v>
      </c>
      <c r="B46" s="83">
        <f t="shared" si="14"/>
        <v>10.149588509589407</v>
      </c>
      <c r="C46" s="83"/>
      <c r="D46" s="78">
        <f t="shared" si="14"/>
        <v>10.149588509589407</v>
      </c>
      <c r="E46" s="83">
        <f t="shared" si="14"/>
        <v>4.9479507526254212</v>
      </c>
      <c r="F46" s="83">
        <f t="shared" si="14"/>
        <v>0.18304516118132444</v>
      </c>
      <c r="G46" s="78">
        <f t="shared" si="14"/>
        <v>5.1309959138067454</v>
      </c>
      <c r="H46" s="83">
        <f t="shared" si="14"/>
        <v>15.097539262214829</v>
      </c>
      <c r="I46" s="83">
        <f t="shared" si="14"/>
        <v>0.18304516118132444</v>
      </c>
      <c r="J46" s="78">
        <f t="shared" si="14"/>
        <v>15.280584423396153</v>
      </c>
    </row>
    <row r="47" spans="1:10" ht="13.5" thickBot="1">
      <c r="A47" s="153"/>
      <c r="B47" s="66"/>
      <c r="C47" s="66"/>
      <c r="D47" s="107"/>
      <c r="E47" s="66"/>
      <c r="F47" s="66"/>
      <c r="G47" s="107"/>
      <c r="H47" s="66"/>
      <c r="I47" s="66"/>
      <c r="J47" s="107"/>
    </row>
    <row r="48" spans="1:10" ht="13">
      <c r="A48" s="188"/>
      <c r="B48" s="189"/>
      <c r="C48" s="189"/>
      <c r="D48" s="189"/>
      <c r="E48" s="189"/>
      <c r="F48" s="189"/>
      <c r="G48" s="189"/>
      <c r="H48" s="189"/>
      <c r="I48" s="189"/>
      <c r="J48" s="190"/>
    </row>
    <row r="49" spans="1:15" ht="13">
      <c r="A49" s="191" t="s">
        <v>74</v>
      </c>
      <c r="B49" s="22"/>
      <c r="C49" s="22"/>
      <c r="D49" s="22"/>
      <c r="E49" s="22"/>
      <c r="F49" s="22"/>
      <c r="G49" s="22"/>
      <c r="H49" s="22"/>
      <c r="I49" s="22"/>
      <c r="J49" s="23"/>
      <c r="K49" s="145"/>
      <c r="L49" s="145"/>
      <c r="M49" s="145"/>
      <c r="N49" s="145"/>
      <c r="O49" s="145"/>
    </row>
    <row r="50" spans="1:15" ht="13.5" thickBot="1">
      <c r="A50" s="201" t="s">
        <v>109</v>
      </c>
      <c r="B50" s="22"/>
      <c r="C50" s="22"/>
      <c r="D50" s="22"/>
      <c r="E50" s="22"/>
      <c r="F50" s="22"/>
      <c r="G50" s="22"/>
      <c r="H50" s="22"/>
      <c r="I50" s="22"/>
      <c r="J50" s="23"/>
      <c r="K50" s="145"/>
      <c r="L50" s="145"/>
      <c r="M50" s="145"/>
      <c r="N50" s="145"/>
      <c r="O50" s="145"/>
    </row>
    <row r="51" spans="1:15" ht="13.5" thickBot="1">
      <c r="A51" s="179" t="s">
        <v>112</v>
      </c>
      <c r="B51" s="106"/>
      <c r="C51" s="106"/>
      <c r="D51" s="106"/>
      <c r="E51" s="106"/>
      <c r="F51" s="106"/>
      <c r="G51" s="106"/>
      <c r="H51" s="106"/>
      <c r="I51" s="106"/>
      <c r="J51" s="107"/>
      <c r="K51" s="145"/>
      <c r="L51" s="145"/>
      <c r="M51" s="145"/>
      <c r="N51" s="145"/>
      <c r="O51" s="145"/>
    </row>
    <row r="52" spans="1:15" ht="13">
      <c r="A52" s="61"/>
      <c r="B52" s="26"/>
      <c r="C52" s="26"/>
      <c r="D52" s="98"/>
      <c r="E52" s="26"/>
      <c r="F52" s="26"/>
      <c r="G52" s="98"/>
      <c r="H52" s="26"/>
      <c r="I52" s="26"/>
      <c r="J52" s="98"/>
    </row>
    <row r="53" spans="1:15" ht="13">
      <c r="A53" s="61"/>
      <c r="B53" s="26"/>
      <c r="C53" s="26"/>
      <c r="D53" s="98"/>
      <c r="E53" s="26"/>
      <c r="F53" s="26"/>
      <c r="G53" s="98"/>
      <c r="H53" s="26"/>
      <c r="I53" s="26"/>
      <c r="J53" s="98"/>
    </row>
    <row r="54" spans="1:15" ht="13">
      <c r="A54" s="61"/>
      <c r="B54" s="26"/>
      <c r="C54" s="26"/>
      <c r="D54" s="98"/>
      <c r="E54" s="26"/>
      <c r="F54" s="26"/>
      <c r="G54" s="98"/>
      <c r="H54" s="26"/>
      <c r="I54" s="26"/>
      <c r="J54" s="98"/>
    </row>
    <row r="55" spans="1:15" ht="13">
      <c r="A55" s="62"/>
      <c r="B55" s="24"/>
      <c r="C55" s="24"/>
      <c r="D55" s="98"/>
      <c r="E55" s="24"/>
      <c r="F55" s="24"/>
      <c r="G55" s="98"/>
      <c r="H55" s="24"/>
      <c r="I55" s="24"/>
      <c r="J55" s="98"/>
    </row>
    <row r="56" spans="1:15" ht="13">
      <c r="A56" s="62"/>
      <c r="B56" s="24"/>
      <c r="C56" s="24"/>
      <c r="D56" s="98"/>
      <c r="E56" s="24"/>
      <c r="F56" s="24"/>
      <c r="G56" s="98"/>
      <c r="H56" s="24"/>
      <c r="I56" s="24"/>
      <c r="J56" s="98"/>
    </row>
    <row r="57" spans="1:15" ht="13">
      <c r="A57" s="63"/>
      <c r="B57" s="24"/>
      <c r="C57" s="24"/>
      <c r="D57" s="98"/>
      <c r="E57" s="24"/>
      <c r="F57" s="24"/>
      <c r="G57" s="98"/>
      <c r="H57" s="24"/>
      <c r="I57" s="24"/>
      <c r="J57" s="98"/>
    </row>
    <row r="58" spans="1:15" ht="13">
      <c r="A58" s="61"/>
      <c r="B58" s="24"/>
      <c r="C58" s="24"/>
      <c r="D58" s="98"/>
      <c r="E58" s="24"/>
      <c r="F58" s="24"/>
      <c r="G58" s="98"/>
      <c r="H58" s="24"/>
      <c r="I58" s="24"/>
      <c r="J58" s="98"/>
    </row>
    <row r="59" spans="1:15">
      <c r="A59" s="63"/>
      <c r="B59" s="64"/>
      <c r="C59" s="64"/>
      <c r="D59" s="98"/>
      <c r="E59" s="64"/>
      <c r="F59" s="64"/>
      <c r="G59" s="98"/>
      <c r="H59" s="64"/>
      <c r="I59" s="64"/>
      <c r="J59" s="98"/>
    </row>
    <row r="60" spans="1:15">
      <c r="A60" s="98"/>
      <c r="B60" s="64"/>
      <c r="C60" s="64"/>
      <c r="D60" s="98"/>
      <c r="E60" s="98"/>
      <c r="F60" s="98"/>
      <c r="G60" s="98"/>
      <c r="H60" s="98"/>
      <c r="I60" s="98"/>
      <c r="J60" s="98"/>
    </row>
    <row r="62" spans="1:15">
      <c r="A62" s="1" t="s">
        <v>12</v>
      </c>
    </row>
    <row r="70" spans="1:1">
      <c r="A70" s="31"/>
    </row>
    <row r="82" spans="1:1">
      <c r="A82" s="31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2016-02-11T01:44:16Z</cp:lastPrinted>
  <dcterms:created xsi:type="dcterms:W3CDTF">2014-12-29T23:40:56Z</dcterms:created>
  <dcterms:modified xsi:type="dcterms:W3CDTF">2020-03-12T15:52:02Z</dcterms:modified>
</cp:coreProperties>
</file>